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15480" windowHeight="9810" tabRatio="844" activeTab="1"/>
  </bookViews>
  <sheets>
    <sheet name="jednotlivci" sheetId="1" r:id="rId1"/>
    <sheet name="garáže" sheetId="11" r:id="rId2"/>
    <sheet name="stat. celkem" sheetId="34" r:id="rId3"/>
    <sheet name="turnaje" sheetId="40" r:id="rId4"/>
    <sheet name="PV OSZO" sheetId="56" r:id="rId5"/>
    <sheet name="KLÍČOV" sheetId="45" r:id="rId6"/>
    <sheet name="ŘEPY" sheetId="46" r:id="rId7"/>
    <sheet name="HOSTIVAŘ" sheetId="50" r:id="rId8"/>
    <sheet name="KAČEROV" sheetId="52" r:id="rId9"/>
    <sheet name="VRŠOVICE" sheetId="53" r:id="rId10"/>
    <sheet name="POHÁR GŘ" sheetId="55" r:id="rId11"/>
    <sheet name="11 DRUŽSTEV" sheetId="54" r:id="rId12"/>
    <sheet name="zápis" sheetId="12" state="hidden" r:id="rId13"/>
  </sheets>
  <calcPr calcId="125725"/>
</workbook>
</file>

<file path=xl/calcChain.xml><?xml version="1.0" encoding="utf-8"?>
<calcChain xmlns="http://schemas.openxmlformats.org/spreadsheetml/2006/main">
  <c r="D95" i="1"/>
  <c r="D94"/>
  <c r="D93"/>
  <c r="AA15"/>
  <c r="D15"/>
  <c r="AA34"/>
  <c r="AE34"/>
  <c r="AA43"/>
  <c r="Y15"/>
  <c r="Y34"/>
  <c r="Y11"/>
  <c r="Y92"/>
  <c r="Y43"/>
  <c r="V15"/>
  <c r="V34"/>
  <c r="V11"/>
  <c r="V92"/>
  <c r="V43"/>
  <c r="S15"/>
  <c r="S34"/>
  <c r="S11"/>
  <c r="S92"/>
  <c r="S43"/>
  <c r="P15"/>
  <c r="P34"/>
  <c r="P11"/>
  <c r="P92"/>
  <c r="P43"/>
  <c r="M15"/>
  <c r="M34"/>
  <c r="M11"/>
  <c r="M92"/>
  <c r="M43"/>
  <c r="J15"/>
  <c r="J34"/>
  <c r="J11"/>
  <c r="J92"/>
  <c r="J43"/>
  <c r="G14"/>
  <c r="G15"/>
  <c r="G34"/>
  <c r="G11"/>
  <c r="G92"/>
  <c r="G43"/>
  <c r="B60"/>
  <c r="B61"/>
  <c r="B62"/>
  <c r="AF95" i="12"/>
  <c r="G72" i="11"/>
  <c r="Z95" i="12"/>
  <c r="F72" i="11"/>
  <c r="T95" i="12"/>
  <c r="E72" i="11"/>
  <c r="N95" i="12"/>
  <c r="H95"/>
  <c r="C72" i="11"/>
  <c r="D72"/>
  <c r="J72" s="1"/>
  <c r="J71" i="56"/>
  <c r="I71"/>
  <c r="H71"/>
  <c r="G71"/>
  <c r="F71"/>
  <c r="P71"/>
  <c r="L70"/>
  <c r="K70"/>
  <c r="M70"/>
  <c r="L69"/>
  <c r="K69"/>
  <c r="M69"/>
  <c r="L68"/>
  <c r="K68"/>
  <c r="M68"/>
  <c r="N68"/>
  <c r="B68"/>
  <c r="L67"/>
  <c r="K67"/>
  <c r="AD66"/>
  <c r="V66"/>
  <c r="L66"/>
  <c r="K66"/>
  <c r="M66"/>
  <c r="N66"/>
  <c r="B66"/>
  <c r="J65"/>
  <c r="I65"/>
  <c r="H65"/>
  <c r="G65"/>
  <c r="F65"/>
  <c r="P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O59"/>
  <c r="Q59"/>
  <c r="L58"/>
  <c r="K58"/>
  <c r="M58"/>
  <c r="L57"/>
  <c r="K57"/>
  <c r="M57"/>
  <c r="L56"/>
  <c r="K56"/>
  <c r="M56"/>
  <c r="L55"/>
  <c r="K55"/>
  <c r="M55"/>
  <c r="Y54"/>
  <c r="AA54"/>
  <c r="T54"/>
  <c r="AD54"/>
  <c r="V54"/>
  <c r="X54"/>
  <c r="L54"/>
  <c r="K54"/>
  <c r="M54"/>
  <c r="J53"/>
  <c r="I53"/>
  <c r="H53"/>
  <c r="G53"/>
  <c r="F53"/>
  <c r="O53"/>
  <c r="P53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O47"/>
  <c r="L46"/>
  <c r="K46"/>
  <c r="M46"/>
  <c r="L45"/>
  <c r="K45"/>
  <c r="M45"/>
  <c r="L44"/>
  <c r="K44"/>
  <c r="M44"/>
  <c r="L43"/>
  <c r="K43"/>
  <c r="M43"/>
  <c r="Y42"/>
  <c r="V42"/>
  <c r="X42"/>
  <c r="L42"/>
  <c r="K42"/>
  <c r="M42"/>
  <c r="J41"/>
  <c r="I41"/>
  <c r="H41"/>
  <c r="G41"/>
  <c r="Y30"/>
  <c r="F41"/>
  <c r="O41"/>
  <c r="P41"/>
  <c r="L40"/>
  <c r="K40"/>
  <c r="M40"/>
  <c r="L39"/>
  <c r="K39"/>
  <c r="M39"/>
  <c r="L38"/>
  <c r="K38"/>
  <c r="M38"/>
  <c r="L37"/>
  <c r="K37"/>
  <c r="M37"/>
  <c r="V36"/>
  <c r="L36"/>
  <c r="K36"/>
  <c r="M36"/>
  <c r="J35"/>
  <c r="I35"/>
  <c r="H35"/>
  <c r="G35"/>
  <c r="F35"/>
  <c r="O35"/>
  <c r="L34"/>
  <c r="K34"/>
  <c r="M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O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O23"/>
  <c r="Q23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O17"/>
  <c r="Q17"/>
  <c r="L16"/>
  <c r="K16"/>
  <c r="M16"/>
  <c r="L15"/>
  <c r="K15"/>
  <c r="M15"/>
  <c r="L14"/>
  <c r="K14"/>
  <c r="M14"/>
  <c r="L13"/>
  <c r="K13"/>
  <c r="M13"/>
  <c r="V12"/>
  <c r="L12"/>
  <c r="K12"/>
  <c r="M12"/>
  <c r="J11"/>
  <c r="I11"/>
  <c r="H11"/>
  <c r="G11"/>
  <c r="F11"/>
  <c r="P11"/>
  <c r="L10"/>
  <c r="K10"/>
  <c r="M10"/>
  <c r="L9"/>
  <c r="K9"/>
  <c r="M9"/>
  <c r="L8"/>
  <c r="K8"/>
  <c r="M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L7"/>
  <c r="K7"/>
  <c r="M7"/>
  <c r="AF6"/>
  <c r="V6"/>
  <c r="X6"/>
  <c r="L6"/>
  <c r="K6"/>
  <c r="M6"/>
  <c r="AA92" i="1"/>
  <c r="D92"/>
  <c r="AA91"/>
  <c r="D91"/>
  <c r="AA90"/>
  <c r="D90"/>
  <c r="AA89"/>
  <c r="D89"/>
  <c r="AA88"/>
  <c r="D88"/>
  <c r="AA87"/>
  <c r="D87"/>
  <c r="R6" i="52"/>
  <c r="U6"/>
  <c r="K6" i="53"/>
  <c r="K7"/>
  <c r="K8"/>
  <c r="K9"/>
  <c r="K10"/>
  <c r="M10"/>
  <c r="AD66" i="54"/>
  <c r="AF6"/>
  <c r="V66"/>
  <c r="V60"/>
  <c r="V54"/>
  <c r="X54"/>
  <c r="V48"/>
  <c r="V42"/>
  <c r="X42"/>
  <c r="V36"/>
  <c r="V30"/>
  <c r="X30"/>
  <c r="V24"/>
  <c r="V18"/>
  <c r="X18"/>
  <c r="V12"/>
  <c r="V6"/>
  <c r="X6"/>
  <c r="K10" i="45"/>
  <c r="K9"/>
  <c r="K8"/>
  <c r="K7"/>
  <c r="K6"/>
  <c r="M6"/>
  <c r="L6"/>
  <c r="L7"/>
  <c r="M7"/>
  <c r="L8"/>
  <c r="M8"/>
  <c r="L9"/>
  <c r="L10"/>
  <c r="M10"/>
  <c r="J65" i="55"/>
  <c r="I65"/>
  <c r="H65"/>
  <c r="G65"/>
  <c r="F65"/>
  <c r="O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O59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F53"/>
  <c r="P53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Y42"/>
  <c r="L46"/>
  <c r="K46"/>
  <c r="M46"/>
  <c r="L45"/>
  <c r="K45"/>
  <c r="M45"/>
  <c r="L44"/>
  <c r="K44"/>
  <c r="M44"/>
  <c r="L43"/>
  <c r="K43"/>
  <c r="M43"/>
  <c r="V42"/>
  <c r="X42"/>
  <c r="L42"/>
  <c r="K42"/>
  <c r="M42"/>
  <c r="J41"/>
  <c r="I41"/>
  <c r="H41"/>
  <c r="G41"/>
  <c r="F41"/>
  <c r="P41"/>
  <c r="L40"/>
  <c r="K40"/>
  <c r="M40"/>
  <c r="L39"/>
  <c r="K39"/>
  <c r="M39"/>
  <c r="L38"/>
  <c r="K38"/>
  <c r="M38"/>
  <c r="L37"/>
  <c r="K37"/>
  <c r="M37"/>
  <c r="V36"/>
  <c r="L36"/>
  <c r="K36"/>
  <c r="M36"/>
  <c r="J35"/>
  <c r="I35"/>
  <c r="H35"/>
  <c r="G35"/>
  <c r="F35"/>
  <c r="Y30"/>
  <c r="L34"/>
  <c r="K34"/>
  <c r="M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P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Y18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P17"/>
  <c r="L16"/>
  <c r="K16"/>
  <c r="M16"/>
  <c r="L15"/>
  <c r="K15"/>
  <c r="M15"/>
  <c r="L14"/>
  <c r="K14"/>
  <c r="M14"/>
  <c r="L13"/>
  <c r="K13"/>
  <c r="M13"/>
  <c r="V12"/>
  <c r="L12"/>
  <c r="K12"/>
  <c r="M12"/>
  <c r="J11"/>
  <c r="I11"/>
  <c r="H11"/>
  <c r="G11"/>
  <c r="F11"/>
  <c r="Y6"/>
  <c r="L10"/>
  <c r="K10"/>
  <c r="L9"/>
  <c r="K9"/>
  <c r="M9"/>
  <c r="L8"/>
  <c r="K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L7"/>
  <c r="K7"/>
  <c r="AF6"/>
  <c r="AI52"/>
  <c r="V6"/>
  <c r="X6"/>
  <c r="L6"/>
  <c r="K6"/>
  <c r="M6"/>
  <c r="J71" i="54"/>
  <c r="I71"/>
  <c r="H71"/>
  <c r="G71"/>
  <c r="F71"/>
  <c r="L70"/>
  <c r="K70"/>
  <c r="M70"/>
  <c r="L69"/>
  <c r="K69"/>
  <c r="M69"/>
  <c r="L68"/>
  <c r="K68"/>
  <c r="M68"/>
  <c r="L67"/>
  <c r="K67"/>
  <c r="M67"/>
  <c r="L66"/>
  <c r="K66"/>
  <c r="J65"/>
  <c r="I65"/>
  <c r="H65"/>
  <c r="G65"/>
  <c r="F65"/>
  <c r="L64"/>
  <c r="K64"/>
  <c r="M64"/>
  <c r="L63"/>
  <c r="K63"/>
  <c r="M63"/>
  <c r="L62"/>
  <c r="K62"/>
  <c r="M62"/>
  <c r="L61"/>
  <c r="K61"/>
  <c r="M61"/>
  <c r="L60"/>
  <c r="K60"/>
  <c r="J59"/>
  <c r="I59"/>
  <c r="H59"/>
  <c r="G59"/>
  <c r="F59"/>
  <c r="O59"/>
  <c r="L58"/>
  <c r="K58"/>
  <c r="M58"/>
  <c r="L57"/>
  <c r="K57"/>
  <c r="M57"/>
  <c r="L56"/>
  <c r="K56"/>
  <c r="M56"/>
  <c r="L55"/>
  <c r="K55"/>
  <c r="M55"/>
  <c r="L54"/>
  <c r="K54"/>
  <c r="J53"/>
  <c r="I53"/>
  <c r="H53"/>
  <c r="G53"/>
  <c r="F53"/>
  <c r="P53"/>
  <c r="L52"/>
  <c r="K52"/>
  <c r="M52"/>
  <c r="L51"/>
  <c r="K51"/>
  <c r="M51"/>
  <c r="L50"/>
  <c r="K50"/>
  <c r="M50"/>
  <c r="L49"/>
  <c r="K49"/>
  <c r="M49"/>
  <c r="L48"/>
  <c r="K48"/>
  <c r="M48"/>
  <c r="J47"/>
  <c r="I47"/>
  <c r="H47"/>
  <c r="G47"/>
  <c r="F47"/>
  <c r="L46"/>
  <c r="K46"/>
  <c r="M46"/>
  <c r="L45"/>
  <c r="K45"/>
  <c r="M45"/>
  <c r="L44"/>
  <c r="K44"/>
  <c r="M44"/>
  <c r="L43"/>
  <c r="K43"/>
  <c r="M43"/>
  <c r="L42"/>
  <c r="K42"/>
  <c r="M42"/>
  <c r="J41"/>
  <c r="I41"/>
  <c r="H41"/>
  <c r="G41"/>
  <c r="F41"/>
  <c r="L40"/>
  <c r="K40"/>
  <c r="M40"/>
  <c r="L39"/>
  <c r="K39"/>
  <c r="M39"/>
  <c r="L38"/>
  <c r="K38"/>
  <c r="M38"/>
  <c r="L37"/>
  <c r="K37"/>
  <c r="M37"/>
  <c r="L36"/>
  <c r="K36"/>
  <c r="J35"/>
  <c r="I35"/>
  <c r="H35"/>
  <c r="G35"/>
  <c r="F35"/>
  <c r="P35"/>
  <c r="Y30"/>
  <c r="AA30"/>
  <c r="L34"/>
  <c r="K34"/>
  <c r="M34"/>
  <c r="L33"/>
  <c r="K33"/>
  <c r="M33"/>
  <c r="L32"/>
  <c r="K32"/>
  <c r="M32"/>
  <c r="L31"/>
  <c r="K31"/>
  <c r="M31"/>
  <c r="L30"/>
  <c r="K30"/>
  <c r="J29"/>
  <c r="I29"/>
  <c r="H29"/>
  <c r="G29"/>
  <c r="F29"/>
  <c r="P29"/>
  <c r="Q29"/>
  <c r="L28"/>
  <c r="K28"/>
  <c r="M28"/>
  <c r="L27"/>
  <c r="K27"/>
  <c r="M27"/>
  <c r="L26"/>
  <c r="K26"/>
  <c r="M26"/>
  <c r="L25"/>
  <c r="K25"/>
  <c r="M25"/>
  <c r="L24"/>
  <c r="K24"/>
  <c r="M24"/>
  <c r="J23"/>
  <c r="I23"/>
  <c r="H23"/>
  <c r="G23"/>
  <c r="Q23"/>
  <c r="F23"/>
  <c r="P23"/>
  <c r="L22"/>
  <c r="K22"/>
  <c r="M22"/>
  <c r="L21"/>
  <c r="K21"/>
  <c r="M21"/>
  <c r="L20"/>
  <c r="K20"/>
  <c r="M20"/>
  <c r="L19"/>
  <c r="K19"/>
  <c r="M19"/>
  <c r="L18"/>
  <c r="K18"/>
  <c r="M18"/>
  <c r="J17"/>
  <c r="I17"/>
  <c r="H17"/>
  <c r="G17"/>
  <c r="F17"/>
  <c r="P17"/>
  <c r="L16"/>
  <c r="K16"/>
  <c r="M16"/>
  <c r="L15"/>
  <c r="K15"/>
  <c r="M15"/>
  <c r="L14"/>
  <c r="K14"/>
  <c r="M14"/>
  <c r="L13"/>
  <c r="K13"/>
  <c r="M13"/>
  <c r="L12"/>
  <c r="K12"/>
  <c r="J11"/>
  <c r="I11"/>
  <c r="H11"/>
  <c r="G11"/>
  <c r="F11"/>
  <c r="P11"/>
  <c r="L10"/>
  <c r="K10"/>
  <c r="M10"/>
  <c r="L9"/>
  <c r="K9"/>
  <c r="M9"/>
  <c r="L8"/>
  <c r="K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L7"/>
  <c r="K7"/>
  <c r="L6"/>
  <c r="K6"/>
  <c r="J65" i="53"/>
  <c r="I65"/>
  <c r="H65"/>
  <c r="G65"/>
  <c r="F65"/>
  <c r="P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Y54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F53"/>
  <c r="P53"/>
  <c r="L52"/>
  <c r="K52"/>
  <c r="M52"/>
  <c r="L51"/>
  <c r="K51"/>
  <c r="M51"/>
  <c r="L50"/>
  <c r="K50"/>
  <c r="M50"/>
  <c r="L49"/>
  <c r="M49"/>
  <c r="K49"/>
  <c r="V48"/>
  <c r="L48"/>
  <c r="K48"/>
  <c r="M48"/>
  <c r="J47"/>
  <c r="I47"/>
  <c r="H47"/>
  <c r="G47"/>
  <c r="F47"/>
  <c r="P47"/>
  <c r="L46"/>
  <c r="M46"/>
  <c r="K46"/>
  <c r="L45"/>
  <c r="K45"/>
  <c r="M45"/>
  <c r="L44"/>
  <c r="K44"/>
  <c r="L43"/>
  <c r="K43"/>
  <c r="M43"/>
  <c r="V42"/>
  <c r="X42"/>
  <c r="L42"/>
  <c r="K42"/>
  <c r="M42"/>
  <c r="J41"/>
  <c r="I41"/>
  <c r="H41"/>
  <c r="G41"/>
  <c r="Q41"/>
  <c r="F41"/>
  <c r="P41"/>
  <c r="L40"/>
  <c r="K40"/>
  <c r="M40"/>
  <c r="L39"/>
  <c r="K39"/>
  <c r="M39"/>
  <c r="L38"/>
  <c r="K38"/>
  <c r="M38"/>
  <c r="L37"/>
  <c r="K37"/>
  <c r="M37"/>
  <c r="V36"/>
  <c r="L36"/>
  <c r="K36"/>
  <c r="M36"/>
  <c r="J35"/>
  <c r="I35"/>
  <c r="H35"/>
  <c r="G35"/>
  <c r="F35"/>
  <c r="Y30"/>
  <c r="L34"/>
  <c r="K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P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Y18"/>
  <c r="L22"/>
  <c r="K22"/>
  <c r="M22"/>
  <c r="L21"/>
  <c r="K21"/>
  <c r="M21"/>
  <c r="L20"/>
  <c r="K20"/>
  <c r="M20"/>
  <c r="L19"/>
  <c r="K19"/>
  <c r="M19"/>
  <c r="V18"/>
  <c r="X18"/>
  <c r="L18"/>
  <c r="K18"/>
  <c r="J17"/>
  <c r="I17"/>
  <c r="H17"/>
  <c r="G17"/>
  <c r="F17"/>
  <c r="P17"/>
  <c r="L16"/>
  <c r="K16"/>
  <c r="L15"/>
  <c r="K15"/>
  <c r="M15"/>
  <c r="L14"/>
  <c r="K14"/>
  <c r="L13"/>
  <c r="K13"/>
  <c r="M13"/>
  <c r="V12"/>
  <c r="L12"/>
  <c r="K12"/>
  <c r="M12"/>
  <c r="J11"/>
  <c r="I11"/>
  <c r="H11"/>
  <c r="G11"/>
  <c r="F11"/>
  <c r="L10"/>
  <c r="L9"/>
  <c r="L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L7"/>
  <c r="M7"/>
  <c r="AF6"/>
  <c r="AH53"/>
  <c r="V6"/>
  <c r="X6"/>
  <c r="L6"/>
  <c r="J65" i="52"/>
  <c r="I65"/>
  <c r="H65"/>
  <c r="G65"/>
  <c r="F65"/>
  <c r="P65"/>
  <c r="O65"/>
  <c r="W60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O59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F53"/>
  <c r="O53"/>
  <c r="Z42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P47"/>
  <c r="L46"/>
  <c r="K46"/>
  <c r="M46"/>
  <c r="L45"/>
  <c r="K45"/>
  <c r="M45"/>
  <c r="L44"/>
  <c r="K44"/>
  <c r="M44"/>
  <c r="L43"/>
  <c r="K43"/>
  <c r="M43"/>
  <c r="V42"/>
  <c r="X42"/>
  <c r="L42"/>
  <c r="K42"/>
  <c r="M42"/>
  <c r="J41"/>
  <c r="I41"/>
  <c r="H41"/>
  <c r="G41"/>
  <c r="F41"/>
  <c r="O41"/>
  <c r="L40"/>
  <c r="K40"/>
  <c r="L39"/>
  <c r="K39"/>
  <c r="L38"/>
  <c r="K38"/>
  <c r="L37"/>
  <c r="K37"/>
  <c r="M37"/>
  <c r="V36"/>
  <c r="L36"/>
  <c r="K36"/>
  <c r="J35"/>
  <c r="I35"/>
  <c r="H35"/>
  <c r="G35"/>
  <c r="F35"/>
  <c r="Y30"/>
  <c r="L34"/>
  <c r="K34"/>
  <c r="M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P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P17"/>
  <c r="Q17"/>
  <c r="L16"/>
  <c r="K16"/>
  <c r="M16"/>
  <c r="L15"/>
  <c r="K15"/>
  <c r="M15"/>
  <c r="L14"/>
  <c r="K14"/>
  <c r="M14"/>
  <c r="L13"/>
  <c r="K13"/>
  <c r="M13"/>
  <c r="V12"/>
  <c r="L12"/>
  <c r="K12"/>
  <c r="M12"/>
  <c r="J11"/>
  <c r="I11"/>
  <c r="H11"/>
  <c r="G11"/>
  <c r="F11"/>
  <c r="P11"/>
  <c r="L10"/>
  <c r="K10"/>
  <c r="M10"/>
  <c r="L9"/>
  <c r="K9"/>
  <c r="M9"/>
  <c r="L8"/>
  <c r="K8"/>
  <c r="M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L7"/>
  <c r="K7"/>
  <c r="M7"/>
  <c r="AF6"/>
  <c r="AI55"/>
  <c r="V6"/>
  <c r="X6"/>
  <c r="L6"/>
  <c r="K6"/>
  <c r="M6"/>
  <c r="J65" i="50"/>
  <c r="I65"/>
  <c r="H65"/>
  <c r="G65"/>
  <c r="F65"/>
  <c r="P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O59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F53"/>
  <c r="P53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Y42"/>
  <c r="L46"/>
  <c r="K46"/>
  <c r="M46"/>
  <c r="L45"/>
  <c r="K45"/>
  <c r="M45"/>
  <c r="L44"/>
  <c r="K44"/>
  <c r="M44"/>
  <c r="L43"/>
  <c r="K43"/>
  <c r="M43"/>
  <c r="V42"/>
  <c r="X42"/>
  <c r="L42"/>
  <c r="K42"/>
  <c r="M42"/>
  <c r="J41"/>
  <c r="I41"/>
  <c r="H41"/>
  <c r="G41"/>
  <c r="F41"/>
  <c r="O41"/>
  <c r="W36"/>
  <c r="L40"/>
  <c r="K40"/>
  <c r="M40"/>
  <c r="L39"/>
  <c r="K39"/>
  <c r="M39"/>
  <c r="L38"/>
  <c r="K38"/>
  <c r="M38"/>
  <c r="L37"/>
  <c r="K37"/>
  <c r="V36"/>
  <c r="L36"/>
  <c r="K36"/>
  <c r="M36"/>
  <c r="J35"/>
  <c r="I35"/>
  <c r="H35"/>
  <c r="G35"/>
  <c r="F35"/>
  <c r="O35"/>
  <c r="L34"/>
  <c r="K34"/>
  <c r="M34"/>
  <c r="L33"/>
  <c r="M33"/>
  <c r="K33"/>
  <c r="L32"/>
  <c r="K32"/>
  <c r="M32"/>
  <c r="L31"/>
  <c r="M31"/>
  <c r="K31"/>
  <c r="V30"/>
  <c r="X30"/>
  <c r="L30"/>
  <c r="K30"/>
  <c r="M30"/>
  <c r="J29"/>
  <c r="I29"/>
  <c r="H29"/>
  <c r="G29"/>
  <c r="F29"/>
  <c r="O29"/>
  <c r="Q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Y18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P17"/>
  <c r="L16"/>
  <c r="K16"/>
  <c r="M16"/>
  <c r="L15"/>
  <c r="K15"/>
  <c r="L14"/>
  <c r="K14"/>
  <c r="M14"/>
  <c r="L13"/>
  <c r="K13"/>
  <c r="M13"/>
  <c r="V12"/>
  <c r="L12"/>
  <c r="K12"/>
  <c r="J11"/>
  <c r="I11"/>
  <c r="H11"/>
  <c r="G11"/>
  <c r="F11"/>
  <c r="P11"/>
  <c r="Q11"/>
  <c r="L10"/>
  <c r="K10"/>
  <c r="L9"/>
  <c r="K9"/>
  <c r="M9"/>
  <c r="L8"/>
  <c r="K8"/>
  <c r="M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L7"/>
  <c r="K7"/>
  <c r="AF6"/>
  <c r="V6"/>
  <c r="X6"/>
  <c r="L6"/>
  <c r="K6"/>
  <c r="M6"/>
  <c r="J65" i="46"/>
  <c r="I65"/>
  <c r="H65"/>
  <c r="G65"/>
  <c r="F65"/>
  <c r="P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Y54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O53"/>
  <c r="F53"/>
  <c r="P53"/>
  <c r="Q53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P47"/>
  <c r="L46"/>
  <c r="K46"/>
  <c r="M46"/>
  <c r="L45"/>
  <c r="K45"/>
  <c r="M45"/>
  <c r="L44"/>
  <c r="K44"/>
  <c r="M44"/>
  <c r="L43"/>
  <c r="K43"/>
  <c r="M43"/>
  <c r="V42"/>
  <c r="X42"/>
  <c r="L42"/>
  <c r="K42"/>
  <c r="M42"/>
  <c r="J41"/>
  <c r="I41"/>
  <c r="H41"/>
  <c r="G41"/>
  <c r="F41"/>
  <c r="P41"/>
  <c r="L40"/>
  <c r="K40"/>
  <c r="M40"/>
  <c r="L39"/>
  <c r="K39"/>
  <c r="M39"/>
  <c r="L38"/>
  <c r="K38"/>
  <c r="M38"/>
  <c r="L37"/>
  <c r="K37"/>
  <c r="M37"/>
  <c r="V36"/>
  <c r="L36"/>
  <c r="K36"/>
  <c r="M36"/>
  <c r="J35"/>
  <c r="I35"/>
  <c r="H35"/>
  <c r="G35"/>
  <c r="F35"/>
  <c r="Y30"/>
  <c r="L34"/>
  <c r="K34"/>
  <c r="M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P29"/>
  <c r="Q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P23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P17"/>
  <c r="L16"/>
  <c r="K16"/>
  <c r="M16"/>
  <c r="L15"/>
  <c r="K15"/>
  <c r="M15"/>
  <c r="L14"/>
  <c r="K14"/>
  <c r="M14"/>
  <c r="L13"/>
  <c r="K13"/>
  <c r="M13"/>
  <c r="V12"/>
  <c r="L12"/>
  <c r="K12"/>
  <c r="M12"/>
  <c r="J11"/>
  <c r="I11"/>
  <c r="H11"/>
  <c r="G11"/>
  <c r="F11"/>
  <c r="L10"/>
  <c r="K10"/>
  <c r="M10"/>
  <c r="L9"/>
  <c r="K9"/>
  <c r="M9"/>
  <c r="L8"/>
  <c r="K8"/>
  <c r="M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L7"/>
  <c r="K7"/>
  <c r="M7"/>
  <c r="AF6"/>
  <c r="AI51"/>
  <c r="V6"/>
  <c r="X6"/>
  <c r="L6"/>
  <c r="K6"/>
  <c r="J65" i="45"/>
  <c r="I65"/>
  <c r="H65"/>
  <c r="G65"/>
  <c r="F65"/>
  <c r="P65"/>
  <c r="O65"/>
  <c r="Q65"/>
  <c r="L64"/>
  <c r="K64"/>
  <c r="M64"/>
  <c r="L63"/>
  <c r="K63"/>
  <c r="M63"/>
  <c r="L62"/>
  <c r="K62"/>
  <c r="M62"/>
  <c r="L61"/>
  <c r="K61"/>
  <c r="M61"/>
  <c r="V60"/>
  <c r="L60"/>
  <c r="K60"/>
  <c r="M60"/>
  <c r="J59"/>
  <c r="I59"/>
  <c r="H59"/>
  <c r="G59"/>
  <c r="F59"/>
  <c r="Y54"/>
  <c r="AA54"/>
  <c r="L58"/>
  <c r="K58"/>
  <c r="M58"/>
  <c r="L57"/>
  <c r="K57"/>
  <c r="M57"/>
  <c r="L56"/>
  <c r="K56"/>
  <c r="M56"/>
  <c r="L55"/>
  <c r="K55"/>
  <c r="M55"/>
  <c r="V54"/>
  <c r="X54"/>
  <c r="L54"/>
  <c r="K54"/>
  <c r="M54"/>
  <c r="J53"/>
  <c r="I53"/>
  <c r="H53"/>
  <c r="G53"/>
  <c r="O53"/>
  <c r="F53"/>
  <c r="P53"/>
  <c r="L52"/>
  <c r="K52"/>
  <c r="M52"/>
  <c r="L51"/>
  <c r="K51"/>
  <c r="M51"/>
  <c r="L50"/>
  <c r="K50"/>
  <c r="M50"/>
  <c r="L49"/>
  <c r="K49"/>
  <c r="M49"/>
  <c r="V48"/>
  <c r="L48"/>
  <c r="K48"/>
  <c r="M48"/>
  <c r="J47"/>
  <c r="I47"/>
  <c r="H47"/>
  <c r="G47"/>
  <c r="F47"/>
  <c r="O47"/>
  <c r="Y42"/>
  <c r="L46"/>
  <c r="K46"/>
  <c r="M46"/>
  <c r="L45"/>
  <c r="K45"/>
  <c r="M45"/>
  <c r="L44"/>
  <c r="K44"/>
  <c r="M44"/>
  <c r="L43"/>
  <c r="K43"/>
  <c r="M43"/>
  <c r="V42"/>
  <c r="X42"/>
  <c r="L42"/>
  <c r="K42"/>
  <c r="M42"/>
  <c r="J41"/>
  <c r="I41"/>
  <c r="H41"/>
  <c r="G41"/>
  <c r="F41"/>
  <c r="P41"/>
  <c r="L40"/>
  <c r="K40"/>
  <c r="M40"/>
  <c r="L39"/>
  <c r="K39"/>
  <c r="M39"/>
  <c r="L38"/>
  <c r="K38"/>
  <c r="M38"/>
  <c r="L37"/>
  <c r="K37"/>
  <c r="M37"/>
  <c r="V36"/>
  <c r="L36"/>
  <c r="K36"/>
  <c r="M36"/>
  <c r="J35"/>
  <c r="I35"/>
  <c r="H35"/>
  <c r="G35"/>
  <c r="F35"/>
  <c r="Y30"/>
  <c r="L34"/>
  <c r="K34"/>
  <c r="M34"/>
  <c r="L33"/>
  <c r="K33"/>
  <c r="M33"/>
  <c r="L32"/>
  <c r="K32"/>
  <c r="M32"/>
  <c r="L31"/>
  <c r="K31"/>
  <c r="M31"/>
  <c r="V30"/>
  <c r="X30"/>
  <c r="L30"/>
  <c r="K30"/>
  <c r="M30"/>
  <c r="J29"/>
  <c r="I29"/>
  <c r="H29"/>
  <c r="G29"/>
  <c r="F29"/>
  <c r="P29"/>
  <c r="L28"/>
  <c r="K28"/>
  <c r="M28"/>
  <c r="L27"/>
  <c r="K27"/>
  <c r="M27"/>
  <c r="L26"/>
  <c r="K26"/>
  <c r="M26"/>
  <c r="L25"/>
  <c r="K25"/>
  <c r="M25"/>
  <c r="V24"/>
  <c r="L24"/>
  <c r="K24"/>
  <c r="M24"/>
  <c r="J23"/>
  <c r="I23"/>
  <c r="H23"/>
  <c r="G23"/>
  <c r="F23"/>
  <c r="Y18"/>
  <c r="L22"/>
  <c r="K22"/>
  <c r="M22"/>
  <c r="L21"/>
  <c r="K21"/>
  <c r="M21"/>
  <c r="L20"/>
  <c r="K20"/>
  <c r="M20"/>
  <c r="L19"/>
  <c r="K19"/>
  <c r="M19"/>
  <c r="V18"/>
  <c r="X18"/>
  <c r="L18"/>
  <c r="K18"/>
  <c r="M18"/>
  <c r="J17"/>
  <c r="I17"/>
  <c r="H17"/>
  <c r="G17"/>
  <c r="F17"/>
  <c r="P17"/>
  <c r="L16"/>
  <c r="K16"/>
  <c r="M16"/>
  <c r="L15"/>
  <c r="K15"/>
  <c r="M15"/>
  <c r="L14"/>
  <c r="K14"/>
  <c r="M14"/>
  <c r="L13"/>
  <c r="K13"/>
  <c r="M13"/>
  <c r="V12"/>
  <c r="L12"/>
  <c r="K12"/>
  <c r="J11"/>
  <c r="I11"/>
  <c r="H11"/>
  <c r="G11"/>
  <c r="F11"/>
  <c r="Y6"/>
  <c r="M9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F6"/>
  <c r="AI54"/>
  <c r="V6"/>
  <c r="X6"/>
  <c r="AA72" i="1"/>
  <c r="D72"/>
  <c r="AA74"/>
  <c r="D74"/>
  <c r="AA73"/>
  <c r="D73"/>
  <c r="AA65"/>
  <c r="D65"/>
  <c r="AA63"/>
  <c r="D63"/>
  <c r="AA75"/>
  <c r="D75"/>
  <c r="AA57"/>
  <c r="D57"/>
  <c r="AA17"/>
  <c r="D17"/>
  <c r="AA68"/>
  <c r="D68"/>
  <c r="AA58"/>
  <c r="D58"/>
  <c r="AA71"/>
  <c r="D71"/>
  <c r="AA61"/>
  <c r="D61"/>
  <c r="AA47"/>
  <c r="D47"/>
  <c r="AA70"/>
  <c r="D70"/>
  <c r="AA62"/>
  <c r="D62"/>
  <c r="AA32"/>
  <c r="D32"/>
  <c r="AA53"/>
  <c r="D53"/>
  <c r="AA85"/>
  <c r="D85"/>
  <c r="AA78"/>
  <c r="D78"/>
  <c r="AA86"/>
  <c r="D86"/>
  <c r="AA4"/>
  <c r="D4"/>
  <c r="AA37"/>
  <c r="AE37"/>
  <c r="AD37"/>
  <c r="AA84"/>
  <c r="D84"/>
  <c r="AA54"/>
  <c r="D54"/>
  <c r="AA29"/>
  <c r="D29"/>
  <c r="AA27"/>
  <c r="AE27"/>
  <c r="AA67"/>
  <c r="D67"/>
  <c r="AA83"/>
  <c r="D83"/>
  <c r="AA41"/>
  <c r="D41"/>
  <c r="AA12"/>
  <c r="D12"/>
  <c r="AA76"/>
  <c r="D76"/>
  <c r="AA44"/>
  <c r="D44"/>
  <c r="AA59"/>
  <c r="D59"/>
  <c r="AA55"/>
  <c r="D55"/>
  <c r="AA51"/>
  <c r="D51"/>
  <c r="AA46"/>
  <c r="AE46"/>
  <c r="AD46"/>
  <c r="AA28"/>
  <c r="D28"/>
  <c r="AA56"/>
  <c r="D56"/>
  <c r="AA16"/>
  <c r="D16"/>
  <c r="AA82"/>
  <c r="D82"/>
  <c r="AA81"/>
  <c r="D81"/>
  <c r="AA26"/>
  <c r="D26"/>
  <c r="AA39"/>
  <c r="D39"/>
  <c r="AA30"/>
  <c r="D30"/>
  <c r="AA35"/>
  <c r="D35"/>
  <c r="AA31"/>
  <c r="D31"/>
  <c r="AA66"/>
  <c r="D66"/>
  <c r="AA50"/>
  <c r="D50"/>
  <c r="AA42"/>
  <c r="D42"/>
  <c r="AA69"/>
  <c r="D69"/>
  <c r="AA79"/>
  <c r="D79"/>
  <c r="AA49"/>
  <c r="D49"/>
  <c r="AA52"/>
  <c r="D52"/>
  <c r="AA36"/>
  <c r="D36"/>
  <c r="AA48"/>
  <c r="D48"/>
  <c r="AA24"/>
  <c r="D24"/>
  <c r="AA40"/>
  <c r="D40"/>
  <c r="AA9"/>
  <c r="D9"/>
  <c r="AA19"/>
  <c r="D19"/>
  <c r="AA64"/>
  <c r="D64"/>
  <c r="AA38"/>
  <c r="D38"/>
  <c r="AA45"/>
  <c r="D45"/>
  <c r="AA60"/>
  <c r="D60"/>
  <c r="AA20"/>
  <c r="D20"/>
  <c r="AA80"/>
  <c r="D80"/>
  <c r="AA5"/>
  <c r="D5"/>
  <c r="AA8"/>
  <c r="D8"/>
  <c r="AA13"/>
  <c r="D13"/>
  <c r="AA6"/>
  <c r="D6"/>
  <c r="AA23"/>
  <c r="D23"/>
  <c r="AA77"/>
  <c r="D77"/>
  <c r="AA14"/>
  <c r="D14"/>
  <c r="AA7"/>
  <c r="D7"/>
  <c r="AA33"/>
  <c r="D33"/>
  <c r="AA11"/>
  <c r="AA21"/>
  <c r="D21"/>
  <c r="AA22"/>
  <c r="D22"/>
  <c r="AA18"/>
  <c r="D18"/>
  <c r="AA10"/>
  <c r="D10"/>
  <c r="AA25"/>
  <c r="D25"/>
  <c r="Y69"/>
  <c r="G81"/>
  <c r="J81"/>
  <c r="M81"/>
  <c r="P81"/>
  <c r="S81"/>
  <c r="V81"/>
  <c r="Y8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V69"/>
  <c r="Y61"/>
  <c r="V94"/>
  <c r="V93"/>
  <c r="V86"/>
  <c r="V85"/>
  <c r="V4"/>
  <c r="V84"/>
  <c r="V83"/>
  <c r="V58"/>
  <c r="V17"/>
  <c r="V78"/>
  <c r="V77"/>
  <c r="V35"/>
  <c r="V76"/>
  <c r="V32"/>
  <c r="V91"/>
  <c r="V74"/>
  <c r="V90"/>
  <c r="V89"/>
  <c r="V71"/>
  <c r="V70"/>
  <c r="V18"/>
  <c r="V68"/>
  <c r="V38"/>
  <c r="V53"/>
  <c r="V9"/>
  <c r="V66"/>
  <c r="V88"/>
  <c r="V47"/>
  <c r="V65"/>
  <c r="V63"/>
  <c r="V62"/>
  <c r="V61"/>
  <c r="V48"/>
  <c r="V87"/>
  <c r="V50"/>
  <c r="V72"/>
  <c r="V73"/>
  <c r="V57"/>
  <c r="V75"/>
  <c r="V79"/>
  <c r="V55"/>
  <c r="V46"/>
  <c r="V59"/>
  <c r="V52"/>
  <c r="V31"/>
  <c r="V44"/>
  <c r="V27"/>
  <c r="V16"/>
  <c r="V49"/>
  <c r="V42"/>
  <c r="V39"/>
  <c r="V36"/>
  <c r="V19"/>
  <c r="V82"/>
  <c r="V54"/>
  <c r="V45"/>
  <c r="V67"/>
  <c r="V40"/>
  <c r="V51"/>
  <c r="V56"/>
  <c r="V30"/>
  <c r="V64"/>
  <c r="V37"/>
  <c r="V26"/>
  <c r="V80"/>
  <c r="V23"/>
  <c r="V5"/>
  <c r="V20"/>
  <c r="V28"/>
  <c r="V24"/>
  <c r="V14"/>
  <c r="V33"/>
  <c r="V60"/>
  <c r="V21"/>
  <c r="V41"/>
  <c r="V25"/>
  <c r="V13"/>
  <c r="V12"/>
  <c r="V29"/>
  <c r="V7"/>
  <c r="V22"/>
  <c r="V6"/>
  <c r="M94"/>
  <c r="M93"/>
  <c r="M86"/>
  <c r="M85"/>
  <c r="M4"/>
  <c r="M84"/>
  <c r="M83"/>
  <c r="M58"/>
  <c r="M17"/>
  <c r="M78"/>
  <c r="M77"/>
  <c r="M35"/>
  <c r="M76"/>
  <c r="M32"/>
  <c r="M91"/>
  <c r="M74"/>
  <c r="M90"/>
  <c r="M89"/>
  <c r="M71"/>
  <c r="M70"/>
  <c r="M18"/>
  <c r="M68"/>
  <c r="M38"/>
  <c r="M53"/>
  <c r="J94"/>
  <c r="J93"/>
  <c r="J86"/>
  <c r="J85"/>
  <c r="J4"/>
  <c r="J84"/>
  <c r="J83"/>
  <c r="AB83"/>
  <c r="AC83"/>
  <c r="J58"/>
  <c r="J17"/>
  <c r="J78"/>
  <c r="J77"/>
  <c r="J35"/>
  <c r="J76"/>
  <c r="J32"/>
  <c r="J91"/>
  <c r="J74"/>
  <c r="J90"/>
  <c r="J89"/>
  <c r="J71"/>
  <c r="J70"/>
  <c r="J18"/>
  <c r="J68"/>
  <c r="J38"/>
  <c r="J53"/>
  <c r="J9"/>
  <c r="J66"/>
  <c r="J88"/>
  <c r="J47"/>
  <c r="J65"/>
  <c r="J63"/>
  <c r="J62"/>
  <c r="G94"/>
  <c r="G93"/>
  <c r="G86"/>
  <c r="G85"/>
  <c r="G4"/>
  <c r="G84"/>
  <c r="G83"/>
  <c r="G58"/>
  <c r="G17"/>
  <c r="G78"/>
  <c r="G77"/>
  <c r="G35"/>
  <c r="G76"/>
  <c r="G32"/>
  <c r="G91"/>
  <c r="G74"/>
  <c r="G90"/>
  <c r="G89"/>
  <c r="G71"/>
  <c r="G70"/>
  <c r="G18"/>
  <c r="G68"/>
  <c r="G38"/>
  <c r="G53"/>
  <c r="G9"/>
  <c r="G66"/>
  <c r="G88"/>
  <c r="G47"/>
  <c r="G65"/>
  <c r="G63"/>
  <c r="G62"/>
  <c r="G61"/>
  <c r="M73"/>
  <c r="M57"/>
  <c r="J73"/>
  <c r="G73"/>
  <c r="AE42"/>
  <c r="S94"/>
  <c r="S93"/>
  <c r="S37"/>
  <c r="S42"/>
  <c r="S86"/>
  <c r="S85"/>
  <c r="S4"/>
  <c r="S84"/>
  <c r="S83"/>
  <c r="S82"/>
  <c r="S6"/>
  <c r="S80"/>
  <c r="S79"/>
  <c r="S58"/>
  <c r="S17"/>
  <c r="S78"/>
  <c r="S22"/>
  <c r="S54"/>
  <c r="S31"/>
  <c r="S56"/>
  <c r="S77"/>
  <c r="S35"/>
  <c r="S52"/>
  <c r="S46"/>
  <c r="S12"/>
  <c r="S76"/>
  <c r="S49"/>
  <c r="S32"/>
  <c r="S39"/>
  <c r="S27"/>
  <c r="S8"/>
  <c r="S14"/>
  <c r="S45"/>
  <c r="S75"/>
  <c r="S40"/>
  <c r="S91"/>
  <c r="S74"/>
  <c r="S13"/>
  <c r="S73"/>
  <c r="S90"/>
  <c r="S89"/>
  <c r="S71"/>
  <c r="S70"/>
  <c r="S33"/>
  <c r="S18"/>
  <c r="S55"/>
  <c r="S68"/>
  <c r="S38"/>
  <c r="S67"/>
  <c r="S53"/>
  <c r="S72"/>
  <c r="S9"/>
  <c r="S25"/>
  <c r="S66"/>
  <c r="S57"/>
  <c r="S88"/>
  <c r="S20"/>
  <c r="S26"/>
  <c r="S28"/>
  <c r="S21"/>
  <c r="S5"/>
  <c r="S47"/>
  <c r="S65"/>
  <c r="S24"/>
  <c r="S30"/>
  <c r="S23"/>
  <c r="S16"/>
  <c r="S64"/>
  <c r="S63"/>
  <c r="S62"/>
  <c r="S61"/>
  <c r="S10"/>
  <c r="S48"/>
  <c r="S87"/>
  <c r="S29"/>
  <c r="S44"/>
  <c r="S50"/>
  <c r="S7"/>
  <c r="S41"/>
  <c r="S60"/>
  <c r="S51"/>
  <c r="S36"/>
  <c r="P86"/>
  <c r="P85"/>
  <c r="P4"/>
  <c r="P84"/>
  <c r="P83"/>
  <c r="P82"/>
  <c r="P6"/>
  <c r="P80"/>
  <c r="P79"/>
  <c r="P58"/>
  <c r="P17"/>
  <c r="P78"/>
  <c r="P22"/>
  <c r="P54"/>
  <c r="P31"/>
  <c r="P56"/>
  <c r="P77"/>
  <c r="P35"/>
  <c r="P52"/>
  <c r="P46"/>
  <c r="P12"/>
  <c r="P76"/>
  <c r="P49"/>
  <c r="P32"/>
  <c r="P39"/>
  <c r="P27"/>
  <c r="P8"/>
  <c r="P14"/>
  <c r="P45"/>
  <c r="P75"/>
  <c r="P40"/>
  <c r="P91"/>
  <c r="P74"/>
  <c r="P13"/>
  <c r="P73"/>
  <c r="P89"/>
  <c r="P71"/>
  <c r="P70"/>
  <c r="P33"/>
  <c r="P18"/>
  <c r="P55"/>
  <c r="P68"/>
  <c r="P38"/>
  <c r="P67"/>
  <c r="P72"/>
  <c r="P9"/>
  <c r="P25"/>
  <c r="P66"/>
  <c r="P57"/>
  <c r="P20"/>
  <c r="P26"/>
  <c r="P28"/>
  <c r="P21"/>
  <c r="P5"/>
  <c r="P47"/>
  <c r="P24"/>
  <c r="P30"/>
  <c r="P23"/>
  <c r="P16"/>
  <c r="P62"/>
  <c r="P10"/>
  <c r="P48"/>
  <c r="P87"/>
  <c r="P29"/>
  <c r="P44"/>
  <c r="P50"/>
  <c r="P7"/>
  <c r="P41"/>
  <c r="P60"/>
  <c r="P51"/>
  <c r="P36"/>
  <c r="P59"/>
  <c r="P19"/>
  <c r="M66"/>
  <c r="Y66"/>
  <c r="Y74"/>
  <c r="Y76"/>
  <c r="M63"/>
  <c r="P63"/>
  <c r="Y63"/>
  <c r="AT118" i="12"/>
  <c r="Z118"/>
  <c r="F96" i="11"/>
  <c r="M13" i="1"/>
  <c r="AT107" i="12"/>
  <c r="K84" i="11"/>
  <c r="AT79" i="12"/>
  <c r="AT90"/>
  <c r="K74" i="11"/>
  <c r="AT42" i="12"/>
  <c r="AT55"/>
  <c r="AT63"/>
  <c r="J61" i="1"/>
  <c r="J13"/>
  <c r="Z94" i="12"/>
  <c r="T94"/>
  <c r="E68" i="11"/>
  <c r="N94" i="12"/>
  <c r="H94"/>
  <c r="C68" i="11"/>
  <c r="AT29" i="12"/>
  <c r="H29"/>
  <c r="C19" i="11"/>
  <c r="AR29" i="12"/>
  <c r="I19" i="11"/>
  <c r="AL29" i="12"/>
  <c r="H19" i="11"/>
  <c r="AF29" i="12"/>
  <c r="G19" i="11"/>
  <c r="Z29" i="12"/>
  <c r="F19" i="11"/>
  <c r="T29" i="12"/>
  <c r="E19" i="11"/>
  <c r="N29" i="12"/>
  <c r="D19" i="11"/>
  <c r="G13" i="1"/>
  <c r="T72" i="12"/>
  <c r="E55" i="11"/>
  <c r="N72" i="12"/>
  <c r="D55" i="11"/>
  <c r="H72" i="12"/>
  <c r="C55" i="11"/>
  <c r="T71" i="12"/>
  <c r="E46" i="11"/>
  <c r="N71" i="12"/>
  <c r="D46" i="11"/>
  <c r="H71" i="12"/>
  <c r="H69"/>
  <c r="C39" i="11"/>
  <c r="Z70" i="12"/>
  <c r="F40" i="11"/>
  <c r="T70" i="12"/>
  <c r="E40" i="11"/>
  <c r="N70" i="12"/>
  <c r="D40" i="11"/>
  <c r="H70" i="12"/>
  <c r="C40" i="11"/>
  <c r="Z68" i="12"/>
  <c r="T68"/>
  <c r="N68"/>
  <c r="H68"/>
  <c r="N46"/>
  <c r="D36" i="11"/>
  <c r="Z46" i="12"/>
  <c r="F36" i="11"/>
  <c r="T46" i="12"/>
  <c r="E36" i="11"/>
  <c r="H46" i="12"/>
  <c r="C36" i="11"/>
  <c r="AF46" i="12"/>
  <c r="G36" i="11"/>
  <c r="AL46" i="12"/>
  <c r="H36" i="11"/>
  <c r="I36"/>
  <c r="Y70" i="1"/>
  <c r="Y80"/>
  <c r="Y17"/>
  <c r="Y87"/>
  <c r="Y73"/>
  <c r="Y59"/>
  <c r="Y62"/>
  <c r="Y90"/>
  <c r="Y75"/>
  <c r="Y53"/>
  <c r="Y57"/>
  <c r="Y71"/>
  <c r="Y68"/>
  <c r="Y36"/>
  <c r="Y54"/>
  <c r="Y42"/>
  <c r="Y65"/>
  <c r="Y39"/>
  <c r="Y46"/>
  <c r="Y84"/>
  <c r="Y47"/>
  <c r="Y60"/>
  <c r="Y56"/>
  <c r="Y85"/>
  <c r="Y55"/>
  <c r="Y88"/>
  <c r="Y72"/>
  <c r="Y50"/>
  <c r="Y9"/>
  <c r="Y32"/>
  <c r="Y48"/>
  <c r="Y77"/>
  <c r="Y38"/>
  <c r="Y52"/>
  <c r="Y79"/>
  <c r="Y64"/>
  <c r="Y41"/>
  <c r="Y20"/>
  <c r="Y16"/>
  <c r="Y91"/>
  <c r="Y49"/>
  <c r="Y30"/>
  <c r="Y28"/>
  <c r="Y83"/>
  <c r="Y13"/>
  <c r="Y44"/>
  <c r="Y89"/>
  <c r="Y40"/>
  <c r="Y67"/>
  <c r="Y31"/>
  <c r="Y82"/>
  <c r="Y58"/>
  <c r="Y19"/>
  <c r="Y24"/>
  <c r="Y29"/>
  <c r="Y35"/>
  <c r="Y26"/>
  <c r="Y51"/>
  <c r="Y45"/>
  <c r="Y23"/>
  <c r="Y27"/>
  <c r="Y25"/>
  <c r="Y5"/>
  <c r="Y14"/>
  <c r="Y86"/>
  <c r="Y33"/>
  <c r="Y21"/>
  <c r="Y22"/>
  <c r="Y4"/>
  <c r="Y18"/>
  <c r="Y78"/>
  <c r="Y12"/>
  <c r="Y6"/>
  <c r="Y7"/>
  <c r="AF94" i="12"/>
  <c r="G68" i="11"/>
  <c r="AT46" i="12"/>
  <c r="AR46"/>
  <c r="C46" i="11"/>
  <c r="AT72" i="12"/>
  <c r="AT71"/>
  <c r="K46" i="11"/>
  <c r="AR72" i="12"/>
  <c r="I55" i="11"/>
  <c r="AR71" i="12"/>
  <c r="I46" i="11"/>
  <c r="AL72" i="12"/>
  <c r="H55" i="11"/>
  <c r="AL71" i="12"/>
  <c r="H46" i="11"/>
  <c r="AF72" i="12"/>
  <c r="G55" i="11"/>
  <c r="AF71" i="12"/>
  <c r="AF70"/>
  <c r="G40" i="11"/>
  <c r="Z72" i="12"/>
  <c r="Z71"/>
  <c r="F46" i="11"/>
  <c r="M87" i="1"/>
  <c r="M48"/>
  <c r="J48"/>
  <c r="P88"/>
  <c r="M88"/>
  <c r="S19"/>
  <c r="M19"/>
  <c r="J19"/>
  <c r="G19"/>
  <c r="Z69" i="12"/>
  <c r="F39" i="11"/>
  <c r="T69" i="12"/>
  <c r="E39" i="11"/>
  <c r="N69" i="12"/>
  <c r="D39" i="11"/>
  <c r="H41" i="12"/>
  <c r="C38" i="11"/>
  <c r="AT41" i="12"/>
  <c r="AU41"/>
  <c r="AR41"/>
  <c r="I38" i="11"/>
  <c r="AL41" i="12"/>
  <c r="H38" i="11"/>
  <c r="AF41" i="12"/>
  <c r="G38" i="11"/>
  <c r="Z41" i="12"/>
  <c r="F38" i="11"/>
  <c r="T41" i="12"/>
  <c r="E38" i="11"/>
  <c r="N41" i="12"/>
  <c r="D38" i="11"/>
  <c r="G48" i="1"/>
  <c r="J57"/>
  <c r="G57"/>
  <c r="M72"/>
  <c r="J72"/>
  <c r="G72"/>
  <c r="G6"/>
  <c r="AT67" i="12"/>
  <c r="AR67"/>
  <c r="I57" i="11"/>
  <c r="AL67" i="12"/>
  <c r="H57" i="11"/>
  <c r="AF67" i="12"/>
  <c r="G57" i="11"/>
  <c r="Z67" i="12"/>
  <c r="F57" i="11"/>
  <c r="T67" i="12"/>
  <c r="E57" i="11"/>
  <c r="N67" i="12"/>
  <c r="H67"/>
  <c r="C57" i="11"/>
  <c r="F68"/>
  <c r="D68"/>
  <c r="AT95" i="12"/>
  <c r="K72" i="11"/>
  <c r="L72" s="1"/>
  <c r="AT94" i="12"/>
  <c r="K68" i="11"/>
  <c r="AR95" i="12"/>
  <c r="I72" i="11"/>
  <c r="AR94" i="12"/>
  <c r="I68" i="11"/>
  <c r="AL95" i="12"/>
  <c r="H72" i="11"/>
  <c r="AL94" i="12"/>
  <c r="H68" i="11"/>
  <c r="AT70" i="12"/>
  <c r="K40" i="11"/>
  <c r="AR70" i="12"/>
  <c r="I40" i="11"/>
  <c r="AL70" i="12"/>
  <c r="H40" i="11"/>
  <c r="Y95" i="1"/>
  <c r="Y94"/>
  <c r="Y93"/>
  <c r="Y37"/>
  <c r="Y8"/>
  <c r="Y10"/>
  <c r="V95"/>
  <c r="V8"/>
  <c r="V10"/>
  <c r="S95"/>
  <c r="S59"/>
  <c r="P95"/>
  <c r="P94"/>
  <c r="P93"/>
  <c r="P37"/>
  <c r="P42"/>
  <c r="P64"/>
  <c r="M95"/>
  <c r="M37"/>
  <c r="M60"/>
  <c r="M9"/>
  <c r="M56"/>
  <c r="M75"/>
  <c r="M54"/>
  <c r="M62"/>
  <c r="M47"/>
  <c r="M49"/>
  <c r="M59"/>
  <c r="M50"/>
  <c r="M36"/>
  <c r="M30"/>
  <c r="M52"/>
  <c r="M51"/>
  <c r="M40"/>
  <c r="M16"/>
  <c r="M46"/>
  <c r="M42"/>
  <c r="M28"/>
  <c r="M25"/>
  <c r="M79"/>
  <c r="M14"/>
  <c r="M64"/>
  <c r="M41"/>
  <c r="M26"/>
  <c r="M45"/>
  <c r="M82"/>
  <c r="M39"/>
  <c r="M67"/>
  <c r="M80"/>
  <c r="M29"/>
  <c r="M55"/>
  <c r="M20"/>
  <c r="M7"/>
  <c r="M24"/>
  <c r="M44"/>
  <c r="M31"/>
  <c r="M5"/>
  <c r="M33"/>
  <c r="M27"/>
  <c r="M22"/>
  <c r="M23"/>
  <c r="M12"/>
  <c r="M21"/>
  <c r="M6"/>
  <c r="M10"/>
  <c r="M8"/>
  <c r="J95"/>
  <c r="J37"/>
  <c r="J46"/>
  <c r="J60"/>
  <c r="J14"/>
  <c r="J56"/>
  <c r="J29"/>
  <c r="J22"/>
  <c r="J75"/>
  <c r="J54"/>
  <c r="J42"/>
  <c r="J79"/>
  <c r="J59"/>
  <c r="J36"/>
  <c r="J44"/>
  <c r="J50"/>
  <c r="J28"/>
  <c r="J27"/>
  <c r="J16"/>
  <c r="J31"/>
  <c r="J33"/>
  <c r="J39"/>
  <c r="J55"/>
  <c r="J25"/>
  <c r="J51"/>
  <c r="J40"/>
  <c r="J80"/>
  <c r="J20"/>
  <c r="J41"/>
  <c r="J64"/>
  <c r="J67"/>
  <c r="J30"/>
  <c r="J26"/>
  <c r="J82"/>
  <c r="J24"/>
  <c r="J49"/>
  <c r="J45"/>
  <c r="J52"/>
  <c r="J23"/>
  <c r="J5"/>
  <c r="J12"/>
  <c r="J21"/>
  <c r="J8"/>
  <c r="J6"/>
  <c r="J7"/>
  <c r="J10"/>
  <c r="G95"/>
  <c r="G37"/>
  <c r="G46"/>
  <c r="G75"/>
  <c r="G54"/>
  <c r="G59"/>
  <c r="G60"/>
  <c r="G31"/>
  <c r="G20"/>
  <c r="G21"/>
  <c r="G28"/>
  <c r="G42"/>
  <c r="G36"/>
  <c r="G79"/>
  <c r="G50"/>
  <c r="G52"/>
  <c r="G49"/>
  <c r="G39"/>
  <c r="G44"/>
  <c r="G51"/>
  <c r="G40"/>
  <c r="G30"/>
  <c r="G56"/>
  <c r="G55"/>
  <c r="G29"/>
  <c r="G26"/>
  <c r="G41"/>
  <c r="G82"/>
  <c r="G7"/>
  <c r="G16"/>
  <c r="G5"/>
  <c r="G80"/>
  <c r="G45"/>
  <c r="G12"/>
  <c r="G27"/>
  <c r="G25"/>
  <c r="G67"/>
  <c r="G23"/>
  <c r="G10"/>
  <c r="G64"/>
  <c r="G24"/>
  <c r="G33"/>
  <c r="G22"/>
  <c r="G8"/>
  <c r="H66" i="12"/>
  <c r="C48" i="11"/>
  <c r="H117" i="12"/>
  <c r="H116"/>
  <c r="C86" i="11"/>
  <c r="H115" i="12"/>
  <c r="C89" i="11"/>
  <c r="H118" i="12"/>
  <c r="C96" i="11"/>
  <c r="T118" i="12"/>
  <c r="E96" i="11"/>
  <c r="T117" i="12"/>
  <c r="E97" i="11"/>
  <c r="N118" i="12"/>
  <c r="N117"/>
  <c r="D97" i="11"/>
  <c r="Z117" i="12"/>
  <c r="F97" i="11"/>
  <c r="AT117" i="12"/>
  <c r="AR118"/>
  <c r="I96" i="11"/>
  <c r="AL118" i="12"/>
  <c r="H96" i="11"/>
  <c r="AF118" i="12"/>
  <c r="G96" i="11"/>
  <c r="AR117" i="12"/>
  <c r="I97" i="11"/>
  <c r="AL117" i="12"/>
  <c r="H97" i="11"/>
  <c r="AF117" i="12"/>
  <c r="G97" i="11"/>
  <c r="Z93" i="12"/>
  <c r="F66" i="11"/>
  <c r="T93" i="12"/>
  <c r="E66" i="11"/>
  <c r="N93" i="12"/>
  <c r="D66" i="11"/>
  <c r="H93" i="12"/>
  <c r="C66" i="11"/>
  <c r="AT93" i="12"/>
  <c r="K66" i="11"/>
  <c r="AR93" i="12"/>
  <c r="I66" i="11"/>
  <c r="AL93" i="12"/>
  <c r="H66" i="11"/>
  <c r="AF93" i="12"/>
  <c r="G66" i="11"/>
  <c r="F52"/>
  <c r="E52"/>
  <c r="D52"/>
  <c r="C52"/>
  <c r="AT69" i="12"/>
  <c r="K39" i="11"/>
  <c r="AT68" i="12"/>
  <c r="AR69"/>
  <c r="I39" i="11"/>
  <c r="AR68" i="12"/>
  <c r="I52" i="11"/>
  <c r="AL69" i="12"/>
  <c r="H39" i="11"/>
  <c r="AL68" i="12"/>
  <c r="H52" i="11"/>
  <c r="AF69" i="12"/>
  <c r="G39" i="11"/>
  <c r="AF68" i="12"/>
  <c r="AT92"/>
  <c r="AR92"/>
  <c r="I81" i="11"/>
  <c r="AL92" i="12"/>
  <c r="H81" i="11"/>
  <c r="AF92" i="12"/>
  <c r="G81" i="11"/>
  <c r="Z92" i="12"/>
  <c r="F81" i="11"/>
  <c r="T92" i="12"/>
  <c r="E81" i="11"/>
  <c r="N92" i="12"/>
  <c r="D81" i="11"/>
  <c r="H92" i="12"/>
  <c r="C81" i="11"/>
  <c r="AT115" i="12"/>
  <c r="K89" i="11"/>
  <c r="T115" i="12"/>
  <c r="E89" i="11"/>
  <c r="AT102" i="12"/>
  <c r="T102"/>
  <c r="E98" i="11"/>
  <c r="AT116" i="12"/>
  <c r="T116"/>
  <c r="E86" i="11"/>
  <c r="AT112" i="12"/>
  <c r="AU112"/>
  <c r="T112"/>
  <c r="E101" i="11"/>
  <c r="AT62" i="12"/>
  <c r="K44" i="11"/>
  <c r="AT59" i="12"/>
  <c r="AT61"/>
  <c r="AT58"/>
  <c r="T58"/>
  <c r="E53" i="11"/>
  <c r="T62" i="12"/>
  <c r="E44" i="11"/>
  <c r="T59" i="12"/>
  <c r="T63"/>
  <c r="E54" i="11"/>
  <c r="H63" i="12"/>
  <c r="C54" i="11"/>
  <c r="N63" i="12"/>
  <c r="D54" i="11"/>
  <c r="Z63" i="12"/>
  <c r="F54" i="11"/>
  <c r="AF63" i="12"/>
  <c r="G54" i="11"/>
  <c r="AL63" i="12"/>
  <c r="H54" i="11"/>
  <c r="AR63" i="12"/>
  <c r="I54" i="11"/>
  <c r="T61" i="12"/>
  <c r="E60" i="11"/>
  <c r="AT39" i="12"/>
  <c r="K28" i="11"/>
  <c r="AT44" i="12"/>
  <c r="K27" i="11"/>
  <c r="T39" i="12"/>
  <c r="E28" i="11"/>
  <c r="T44" i="12"/>
  <c r="E27" i="11"/>
  <c r="AT16" i="12"/>
  <c r="AU16"/>
  <c r="T16"/>
  <c r="E21" i="11"/>
  <c r="AT27" i="12"/>
  <c r="Z27"/>
  <c r="F20" i="11"/>
  <c r="T27" i="12"/>
  <c r="E20" i="11"/>
  <c r="AT23" i="12"/>
  <c r="T23"/>
  <c r="E18" i="11"/>
  <c r="N116" i="12"/>
  <c r="D86" i="11"/>
  <c r="Z116" i="12"/>
  <c r="F86" i="11"/>
  <c r="AF116" i="12"/>
  <c r="G86" i="11"/>
  <c r="AL116" i="12"/>
  <c r="H86" i="11"/>
  <c r="AR116" i="12"/>
  <c r="I86" i="11"/>
  <c r="N115" i="12"/>
  <c r="Z115"/>
  <c r="F89" i="11"/>
  <c r="AF115" i="12"/>
  <c r="G89" i="11"/>
  <c r="AL115" i="12"/>
  <c r="H89" i="11"/>
  <c r="AR115" i="12"/>
  <c r="I89" i="11"/>
  <c r="AT66" i="12"/>
  <c r="K48" i="11"/>
  <c r="N66" i="12"/>
  <c r="D48" i="11"/>
  <c r="T66" i="12"/>
  <c r="E48" i="11"/>
  <c r="Z66" i="12"/>
  <c r="F48" i="11"/>
  <c r="AF66" i="12"/>
  <c r="G48" i="11"/>
  <c r="AL66" i="12"/>
  <c r="H48" i="11"/>
  <c r="AR66" i="12"/>
  <c r="I48" i="11"/>
  <c r="AT113" i="12"/>
  <c r="N113"/>
  <c r="D93" i="11"/>
  <c r="T113" i="12"/>
  <c r="E93" i="11"/>
  <c r="AT104" i="12"/>
  <c r="AT109"/>
  <c r="N104"/>
  <c r="D90" i="11"/>
  <c r="T104" i="12"/>
  <c r="E90" i="11"/>
  <c r="N109" i="12"/>
  <c r="D92" i="11"/>
  <c r="T109" i="12"/>
  <c r="E92" i="11"/>
  <c r="AT110" i="12"/>
  <c r="K82" i="11"/>
  <c r="N110" i="12"/>
  <c r="D82" i="11"/>
  <c r="T110" i="12"/>
  <c r="E82" i="11"/>
  <c r="N42" i="12"/>
  <c r="D37" i="11"/>
  <c r="T42" i="12"/>
  <c r="E37" i="11"/>
  <c r="AT28" i="12"/>
  <c r="K10" i="11"/>
  <c r="AF28" i="12"/>
  <c r="G10" i="11"/>
  <c r="Z28" i="12"/>
  <c r="F10" i="11"/>
  <c r="T28" i="12"/>
  <c r="E10" i="11"/>
  <c r="N28" i="12"/>
  <c r="D10" i="11"/>
  <c r="H28" i="12"/>
  <c r="C10" i="11"/>
  <c r="AR28" i="12"/>
  <c r="I10" i="11"/>
  <c r="AL28" i="12"/>
  <c r="H10" i="11"/>
  <c r="Z57" i="12"/>
  <c r="AT111"/>
  <c r="K85" i="11"/>
  <c r="AT87" i="12"/>
  <c r="AT82"/>
  <c r="AT60"/>
  <c r="AF65"/>
  <c r="G56" i="11"/>
  <c r="Z65" i="12"/>
  <c r="F56" i="11"/>
  <c r="N65" i="12"/>
  <c r="D56" i="11"/>
  <c r="AF64" i="12"/>
  <c r="G49" i="11"/>
  <c r="N64" i="12"/>
  <c r="D49" i="11"/>
  <c r="H65" i="12"/>
  <c r="C56" i="11"/>
  <c r="H64" i="12"/>
  <c r="C49" i="11"/>
  <c r="AT65" i="12"/>
  <c r="AT64"/>
  <c r="AR65"/>
  <c r="I56" i="11"/>
  <c r="AR64" i="12"/>
  <c r="I49" i="11"/>
  <c r="AL65" i="12"/>
  <c r="H56" i="11"/>
  <c r="AL64" i="12"/>
  <c r="H49" i="11"/>
  <c r="Z64" i="12"/>
  <c r="F49" i="11"/>
  <c r="T65" i="12"/>
  <c r="E56" i="11"/>
  <c r="T64" i="12"/>
  <c r="N85"/>
  <c r="AR27"/>
  <c r="I20" i="11"/>
  <c r="AL27" i="12"/>
  <c r="H20" i="11"/>
  <c r="AF27" i="12"/>
  <c r="G20" i="11"/>
  <c r="Z26" i="12"/>
  <c r="F14" i="11"/>
  <c r="T26" i="12"/>
  <c r="E14" i="11"/>
  <c r="T25" i="12"/>
  <c r="E17" i="11"/>
  <c r="T24" i="12"/>
  <c r="E9" i="11"/>
  <c r="N27" i="12"/>
  <c r="D20" i="11"/>
  <c r="N26" i="12"/>
  <c r="D14" i="11"/>
  <c r="N25" i="12"/>
  <c r="D17" i="11"/>
  <c r="N24" i="12"/>
  <c r="D9" i="11"/>
  <c r="N23" i="12"/>
  <c r="D18" i="11"/>
  <c r="N22" i="12"/>
  <c r="H27"/>
  <c r="C20" i="11"/>
  <c r="H26" i="12"/>
  <c r="C14" i="11"/>
  <c r="H25" i="12"/>
  <c r="C17" i="11"/>
  <c r="H24" i="12"/>
  <c r="C9" i="11"/>
  <c r="H23" i="12"/>
  <c r="C18" i="11"/>
  <c r="Z23" i="12"/>
  <c r="F18" i="11"/>
  <c r="AF23" i="12"/>
  <c r="G18" i="11"/>
  <c r="AL23" i="12"/>
  <c r="H18" i="11"/>
  <c r="AR23" i="12"/>
  <c r="I18" i="11"/>
  <c r="H22" i="12"/>
  <c r="H21"/>
  <c r="C23" i="11"/>
  <c r="H20" i="12"/>
  <c r="C16" i="11"/>
  <c r="Z45" i="12"/>
  <c r="F32" i="11"/>
  <c r="H45" i="12"/>
  <c r="C32" i="11"/>
  <c r="N45" i="12"/>
  <c r="D32" i="11"/>
  <c r="T45" i="12"/>
  <c r="E32" i="11"/>
  <c r="AF45" i="12"/>
  <c r="G32" i="11"/>
  <c r="AL45" i="12"/>
  <c r="H32" i="11"/>
  <c r="AR45" i="12"/>
  <c r="I32" i="11"/>
  <c r="N44" i="12"/>
  <c r="D27" i="11"/>
  <c r="N43" i="12"/>
  <c r="D34" i="11"/>
  <c r="H44" i="12"/>
  <c r="C27" i="11"/>
  <c r="H43" i="12"/>
  <c r="C34" i="11"/>
  <c r="H42" i="12"/>
  <c r="C37" i="11"/>
  <c r="AR62" i="12"/>
  <c r="I44" i="11"/>
  <c r="AR61" i="12"/>
  <c r="I60" i="11"/>
  <c r="AL62" i="12"/>
  <c r="H44" i="11"/>
  <c r="AL61" i="12"/>
  <c r="H60" i="11"/>
  <c r="AF62" i="12"/>
  <c r="G44" i="11"/>
  <c r="AF61" i="12"/>
  <c r="G60" i="11"/>
  <c r="Z62" i="12"/>
  <c r="F44" i="11"/>
  <c r="Z61" i="12"/>
  <c r="F60" i="11"/>
  <c r="Z60" i="12"/>
  <c r="F51" i="11"/>
  <c r="T60" i="12"/>
  <c r="E51" i="11"/>
  <c r="N62" i="12"/>
  <c r="D44" i="11"/>
  <c r="H62" i="12"/>
  <c r="C44" i="11"/>
  <c r="N61" i="12"/>
  <c r="D60" i="11"/>
  <c r="N60" i="12"/>
  <c r="D51" i="11"/>
  <c r="N59" i="12"/>
  <c r="D61" i="11"/>
  <c r="N58" i="12"/>
  <c r="D53" i="11"/>
  <c r="H61" i="12"/>
  <c r="C60" i="11"/>
  <c r="H60" i="12"/>
  <c r="C51" i="11"/>
  <c r="AF60" i="12"/>
  <c r="G51" i="11"/>
  <c r="AL60" i="12"/>
  <c r="H51" i="11"/>
  <c r="AR60" i="12"/>
  <c r="I51" i="11"/>
  <c r="H59" i="12"/>
  <c r="C61" i="11"/>
  <c r="H58" i="12"/>
  <c r="AT91"/>
  <c r="K69" i="11"/>
  <c r="AR91" i="12"/>
  <c r="I69" i="11"/>
  <c r="AL91" i="12"/>
  <c r="H69" i="11"/>
  <c r="AF91" i="12"/>
  <c r="G69" i="11"/>
  <c r="Z91" i="12"/>
  <c r="F69" i="11"/>
  <c r="T91" i="12"/>
  <c r="E69" i="11"/>
  <c r="N91" i="12"/>
  <c r="N90"/>
  <c r="D74" i="11"/>
  <c r="N89" i="12"/>
  <c r="N88"/>
  <c r="D65" i="11"/>
  <c r="N87" i="12"/>
  <c r="H91"/>
  <c r="C69" i="11"/>
  <c r="H90" i="12"/>
  <c r="C74" i="11"/>
  <c r="H89" i="12"/>
  <c r="C80" i="11"/>
  <c r="H88" i="12"/>
  <c r="C65" i="11"/>
  <c r="H87" i="12"/>
  <c r="C63" i="11"/>
  <c r="H86" i="12"/>
  <c r="C71" i="11"/>
  <c r="T114" i="12"/>
  <c r="E94" i="11"/>
  <c r="N114" i="12"/>
  <c r="D94" i="11"/>
  <c r="N112" i="12"/>
  <c r="D101" i="11"/>
  <c r="H114" i="12"/>
  <c r="C94" i="11"/>
  <c r="H113" i="12"/>
  <c r="C93" i="11"/>
  <c r="H112" i="12"/>
  <c r="H111"/>
  <c r="C85" i="11"/>
  <c r="H110" i="12"/>
  <c r="C82" i="11"/>
  <c r="H109" i="12"/>
  <c r="C92" i="11"/>
  <c r="AT35" i="12"/>
  <c r="AT43"/>
  <c r="K34" i="11"/>
  <c r="AT36" i="12"/>
  <c r="AT33"/>
  <c r="AT38"/>
  <c r="AT37"/>
  <c r="K30" i="11"/>
  <c r="AT40" i="12"/>
  <c r="AT45"/>
  <c r="K32" i="11"/>
  <c r="AT34" i="12"/>
  <c r="K26" i="11"/>
  <c r="H35" i="12"/>
  <c r="C31" i="11"/>
  <c r="H36" i="12"/>
  <c r="H33"/>
  <c r="C29" i="11"/>
  <c r="H38" i="12"/>
  <c r="C33" i="11"/>
  <c r="H37" i="12"/>
  <c r="C30" i="11"/>
  <c r="H40" i="12"/>
  <c r="C35" i="11"/>
  <c r="H34" i="12"/>
  <c r="C26" i="11"/>
  <c r="AT26" i="12"/>
  <c r="AR26"/>
  <c r="I14" i="11"/>
  <c r="AL26" i="12"/>
  <c r="H14" i="11"/>
  <c r="AF26" i="12"/>
  <c r="G14" i="11"/>
  <c r="AF44" i="12"/>
  <c r="G27" i="11"/>
  <c r="AT114" i="12"/>
  <c r="AR114"/>
  <c r="I94" i="11"/>
  <c r="AR113" i="12"/>
  <c r="I93" i="11"/>
  <c r="AL114" i="12"/>
  <c r="H94" i="11"/>
  <c r="AL113" i="12"/>
  <c r="H93" i="11"/>
  <c r="AF114" i="12"/>
  <c r="G94" i="11"/>
  <c r="AF113" i="12"/>
  <c r="G93" i="11"/>
  <c r="Z114" i="12"/>
  <c r="F94" i="11"/>
  <c r="Z113" i="12"/>
  <c r="F93" i="11"/>
  <c r="AR59" i="12"/>
  <c r="I61" i="11"/>
  <c r="AL59" i="12"/>
  <c r="H61" i="11"/>
  <c r="AF59" i="12"/>
  <c r="G61" i="11"/>
  <c r="Z59" i="12"/>
  <c r="F61" i="11"/>
  <c r="AR44" i="12"/>
  <c r="I27" i="11"/>
  <c r="AL44" i="12"/>
  <c r="H27" i="11"/>
  <c r="Z44" i="12"/>
  <c r="F27" i="11"/>
  <c r="AR25" i="12"/>
  <c r="I17" i="11"/>
  <c r="AR24" i="12"/>
  <c r="I9" i="11"/>
  <c r="AL25" i="12"/>
  <c r="H17" i="11"/>
  <c r="AL24" i="12"/>
  <c r="H9" i="11"/>
  <c r="AF25" i="12"/>
  <c r="G17" i="11"/>
  <c r="AF24" i="12"/>
  <c r="G9" i="11"/>
  <c r="AT25" i="12"/>
  <c r="AT24"/>
  <c r="Z25"/>
  <c r="F17" i="11"/>
  <c r="Z24" i="12"/>
  <c r="F9" i="11"/>
  <c r="AF112" i="12"/>
  <c r="G101" i="11"/>
  <c r="AR112" i="12"/>
  <c r="I101" i="11"/>
  <c r="AL112" i="12"/>
  <c r="H101" i="11"/>
  <c r="Z112" i="12"/>
  <c r="F101" i="11"/>
  <c r="Z99" i="12"/>
  <c r="F83" i="11"/>
  <c r="AF99" i="12"/>
  <c r="G83" i="11"/>
  <c r="Z110" i="12"/>
  <c r="F82" i="11"/>
  <c r="Z101" i="12"/>
  <c r="Z104"/>
  <c r="F90" i="11"/>
  <c r="AF104" i="12"/>
  <c r="G90" i="11"/>
  <c r="Z108" i="12"/>
  <c r="F88" i="11"/>
  <c r="AF108" i="12"/>
  <c r="G88" i="11"/>
  <c r="Z105" i="12"/>
  <c r="F100" i="11"/>
  <c r="AF105" i="12"/>
  <c r="Z102"/>
  <c r="F98" i="11"/>
  <c r="T90" i="12"/>
  <c r="E74" i="11"/>
  <c r="AT88" i="12"/>
  <c r="K65" i="11"/>
  <c r="AR90" i="12"/>
  <c r="I74" i="11"/>
  <c r="AF90" i="12"/>
  <c r="G74" i="11"/>
  <c r="Z90" i="12"/>
  <c r="F74" i="11"/>
  <c r="AL90" i="12"/>
  <c r="H74" i="11"/>
  <c r="AT89" i="12"/>
  <c r="AU89"/>
  <c r="AR89"/>
  <c r="I80" i="11"/>
  <c r="AL89" i="12"/>
  <c r="H80" i="11"/>
  <c r="AF89" i="12"/>
  <c r="G80" i="11"/>
  <c r="Z89" i="12"/>
  <c r="F80" i="11"/>
  <c r="T89" i="12"/>
  <c r="E80" i="11"/>
  <c r="AR88" i="12"/>
  <c r="I65" i="11"/>
  <c r="AL88" i="12"/>
  <c r="H65" i="11"/>
  <c r="AF88" i="12"/>
  <c r="G65" i="11"/>
  <c r="Z88" i="12"/>
  <c r="F65" i="11"/>
  <c r="T88" i="12"/>
  <c r="E65" i="11"/>
  <c r="AR87" i="12"/>
  <c r="I63" i="11"/>
  <c r="AL87" i="12"/>
  <c r="H63" i="11"/>
  <c r="AF87" i="12"/>
  <c r="G63" i="11"/>
  <c r="Z87" i="12"/>
  <c r="F63" i="11"/>
  <c r="T87" i="12"/>
  <c r="E63" i="11"/>
  <c r="AF58" i="12"/>
  <c r="G53" i="11"/>
  <c r="Z55" i="12"/>
  <c r="F58" i="11"/>
  <c r="AF55" i="12"/>
  <c r="G58" i="11"/>
  <c r="AR58" i="12"/>
  <c r="I53" i="11"/>
  <c r="AL58" i="12"/>
  <c r="H53" i="11"/>
  <c r="Z58" i="12"/>
  <c r="F53" i="11"/>
  <c r="AF43" i="12"/>
  <c r="G34" i="11"/>
  <c r="Z43" i="12"/>
  <c r="F34" i="11"/>
  <c r="AR43" i="12"/>
  <c r="AL43"/>
  <c r="H34" i="11"/>
  <c r="T43" i="12"/>
  <c r="AT22"/>
  <c r="AU22"/>
  <c r="AR22"/>
  <c r="AL22"/>
  <c r="AF22"/>
  <c r="Z22"/>
  <c r="T22"/>
  <c r="AR111"/>
  <c r="I85" i="11"/>
  <c r="AR110" i="12"/>
  <c r="I82" i="11"/>
  <c r="AR109" i="12"/>
  <c r="I92" i="11"/>
  <c r="AL111" i="12"/>
  <c r="H85" i="11"/>
  <c r="AL110" i="12"/>
  <c r="H82" i="11"/>
  <c r="AL109" i="12"/>
  <c r="H92" i="11"/>
  <c r="AF111" i="12"/>
  <c r="G85" i="11"/>
  <c r="AF110" i="12"/>
  <c r="G82" i="11"/>
  <c r="AF109" i="12"/>
  <c r="G92" i="11"/>
  <c r="Z111" i="12"/>
  <c r="F85" i="11"/>
  <c r="Z109" i="12"/>
  <c r="F92" i="11"/>
  <c r="T111" i="12"/>
  <c r="E85" i="11"/>
  <c r="N111" i="12"/>
  <c r="AR86"/>
  <c r="I71" i="11"/>
  <c r="AL86" i="12"/>
  <c r="H71" i="11"/>
  <c r="AF86" i="12"/>
  <c r="G71" i="11"/>
  <c r="Z86" i="12"/>
  <c r="F71" i="11"/>
  <c r="T86" i="12"/>
  <c r="E71" i="11"/>
  <c r="N86" i="12"/>
  <c r="AT86"/>
  <c r="K71" i="11"/>
  <c r="AR42" i="12"/>
  <c r="I37" i="11"/>
  <c r="AL42" i="12"/>
  <c r="H37" i="11"/>
  <c r="AF42" i="12"/>
  <c r="G37" i="11"/>
  <c r="Z42" i="12"/>
  <c r="AR21"/>
  <c r="I23" i="11"/>
  <c r="AR20" i="12"/>
  <c r="I16" i="11"/>
  <c r="AL21" i="12"/>
  <c r="H23" i="11"/>
  <c r="AL20" i="12"/>
  <c r="H16" i="11"/>
  <c r="AF21" i="12"/>
  <c r="G23" i="11"/>
  <c r="AF20" i="12"/>
  <c r="G16" i="11"/>
  <c r="Z21" i="12"/>
  <c r="F23" i="11"/>
  <c r="Z20" i="12"/>
  <c r="F16" i="11"/>
  <c r="T21" i="12"/>
  <c r="E23" i="11"/>
  <c r="T20" i="12"/>
  <c r="E16" i="11"/>
  <c r="N21" i="12"/>
  <c r="D23" i="11"/>
  <c r="N20" i="12"/>
  <c r="AT21"/>
  <c r="AU21"/>
  <c r="AT20"/>
  <c r="K16" i="11"/>
  <c r="H99" i="12"/>
  <c r="C83" i="11"/>
  <c r="AT6" i="12"/>
  <c r="AR108"/>
  <c r="I88" i="11"/>
  <c r="AR107" i="12"/>
  <c r="I84" i="11"/>
  <c r="AR106" i="12"/>
  <c r="I91" i="11"/>
  <c r="AR105" i="12"/>
  <c r="I100" i="11"/>
  <c r="AR104" i="12"/>
  <c r="I90" i="11"/>
  <c r="AR103" i="12"/>
  <c r="I87" i="11"/>
  <c r="AR102" i="12"/>
  <c r="I98" i="11"/>
  <c r="AR101" i="12"/>
  <c r="I95" i="11"/>
  <c r="AR100" i="12"/>
  <c r="I99" i="11"/>
  <c r="AR99" i="12"/>
  <c r="I83" i="11"/>
  <c r="AL108" i="12"/>
  <c r="H88" i="11"/>
  <c r="AL107" i="12"/>
  <c r="H84" i="11"/>
  <c r="AL106" i="12"/>
  <c r="H91" i="11"/>
  <c r="AL105" i="12"/>
  <c r="H100" i="11"/>
  <c r="AL104" i="12"/>
  <c r="H90" i="11"/>
  <c r="AL103" i="12"/>
  <c r="H87" i="11"/>
  <c r="AL102" i="12"/>
  <c r="H98" i="11"/>
  <c r="AL101" i="12"/>
  <c r="AL100"/>
  <c r="H99" i="11"/>
  <c r="AL99" i="12"/>
  <c r="H83" i="11"/>
  <c r="AF107" i="12"/>
  <c r="G84" i="11"/>
  <c r="AF106" i="12"/>
  <c r="G91" i="11"/>
  <c r="AF103" i="12"/>
  <c r="G87" i="11"/>
  <c r="AF102" i="12"/>
  <c r="G98" i="11"/>
  <c r="AF101" i="12"/>
  <c r="G95" i="11"/>
  <c r="AF100" i="12"/>
  <c r="Z107"/>
  <c r="F84" i="11"/>
  <c r="Z106" i="12"/>
  <c r="F91" i="11"/>
  <c r="Z103" i="12"/>
  <c r="F87" i="11"/>
  <c r="Z100" i="12"/>
  <c r="F99" i="11"/>
  <c r="T108" i="12"/>
  <c r="E88" i="11"/>
  <c r="T107" i="12"/>
  <c r="E84" i="11"/>
  <c r="T106" i="12"/>
  <c r="E91" i="11"/>
  <c r="T105" i="12"/>
  <c r="E100" i="11"/>
  <c r="T103" i="12"/>
  <c r="E87" i="11"/>
  <c r="T101" i="12"/>
  <c r="E95" i="11"/>
  <c r="T100" i="12"/>
  <c r="E99" i="11"/>
  <c r="T99" i="12"/>
  <c r="N108"/>
  <c r="D88" i="11"/>
  <c r="N107" i="12"/>
  <c r="N106"/>
  <c r="D91" i="11"/>
  <c r="N105" i="12"/>
  <c r="H105"/>
  <c r="C100" i="11"/>
  <c r="AT105" i="12"/>
  <c r="N103"/>
  <c r="D87" i="11"/>
  <c r="N102" i="12"/>
  <c r="N101"/>
  <c r="D95" i="11"/>
  <c r="H101" i="12"/>
  <c r="N100"/>
  <c r="D99" i="11"/>
  <c r="N99" i="12"/>
  <c r="AT99"/>
  <c r="H108"/>
  <c r="C88" i="11"/>
  <c r="H107" i="12"/>
  <c r="C84" i="11"/>
  <c r="H106" i="12"/>
  <c r="C91" i="11"/>
  <c r="H104" i="12"/>
  <c r="C90" i="11"/>
  <c r="H103" i="12"/>
  <c r="H102"/>
  <c r="H100"/>
  <c r="C99" i="11"/>
  <c r="AR85" i="12"/>
  <c r="I77" i="11"/>
  <c r="AR84" i="12"/>
  <c r="I73" i="11"/>
  <c r="AR83" i="12"/>
  <c r="I67" i="11"/>
  <c r="AR82" i="12"/>
  <c r="I79" i="11"/>
  <c r="AR81" i="12"/>
  <c r="I75" i="11"/>
  <c r="AR80" i="12"/>
  <c r="AR79"/>
  <c r="I78" i="11"/>
  <c r="AR78" i="12"/>
  <c r="I76" i="11"/>
  <c r="AR77" i="12"/>
  <c r="I62" i="11"/>
  <c r="AR76" i="12"/>
  <c r="I64" i="11"/>
  <c r="AL85" i="12"/>
  <c r="H77" i="11"/>
  <c r="AL84" i="12"/>
  <c r="AL83"/>
  <c r="H67" i="11"/>
  <c r="AL82" i="12"/>
  <c r="H79" i="11"/>
  <c r="AL81" i="12"/>
  <c r="AL80"/>
  <c r="H70" i="11"/>
  <c r="AL79" i="12"/>
  <c r="H78" i="11"/>
  <c r="AL78" i="12"/>
  <c r="AL77"/>
  <c r="AL76"/>
  <c r="H64" i="11"/>
  <c r="AF85" i="12"/>
  <c r="G77" i="11"/>
  <c r="AF84" i="12"/>
  <c r="G73" i="11"/>
  <c r="AF83" i="12"/>
  <c r="AF82"/>
  <c r="G79" i="11"/>
  <c r="AF81" i="12"/>
  <c r="G75" i="11"/>
  <c r="AF80" i="12"/>
  <c r="G70" i="11"/>
  <c r="AF79" i="12"/>
  <c r="G78" i="11"/>
  <c r="AF78" i="12"/>
  <c r="AF77"/>
  <c r="G62" i="11"/>
  <c r="AF76" i="12"/>
  <c r="G64" i="11"/>
  <c r="Z85" i="12"/>
  <c r="F77" i="11"/>
  <c r="Z84" i="12"/>
  <c r="F73" i="11"/>
  <c r="Z83" i="12"/>
  <c r="F67" i="11"/>
  <c r="Z82" i="12"/>
  <c r="F79" i="11"/>
  <c r="Z81" i="12"/>
  <c r="F75" i="11"/>
  <c r="Z80" i="12"/>
  <c r="F70" i="11"/>
  <c r="Z79" i="12"/>
  <c r="F78" i="11"/>
  <c r="Z78" i="12"/>
  <c r="F76" i="11"/>
  <c r="Z77" i="12"/>
  <c r="F62" i="11"/>
  <c r="Z76" i="12"/>
  <c r="T85"/>
  <c r="E77" i="11"/>
  <c r="T84" i="12"/>
  <c r="T83"/>
  <c r="E67" i="11"/>
  <c r="T82" i="12"/>
  <c r="E79" i="11"/>
  <c r="T81" i="12"/>
  <c r="E75" i="11"/>
  <c r="T80" i="12"/>
  <c r="T79"/>
  <c r="E78" i="11"/>
  <c r="T78" i="12"/>
  <c r="E76" i="11"/>
  <c r="T77" i="12"/>
  <c r="E62" i="11"/>
  <c r="T76" i="12"/>
  <c r="E64" i="11"/>
  <c r="N84" i="12"/>
  <c r="N83"/>
  <c r="N82"/>
  <c r="D79" i="11"/>
  <c r="N81" i="12"/>
  <c r="N80"/>
  <c r="N79"/>
  <c r="N78"/>
  <c r="D76" i="11"/>
  <c r="N77" i="12"/>
  <c r="D62" i="11"/>
  <c r="N76" i="12"/>
  <c r="H85"/>
  <c r="C77" i="11"/>
  <c r="D77"/>
  <c r="AT85" i="12"/>
  <c r="H84"/>
  <c r="C73" i="11"/>
  <c r="H83" i="12"/>
  <c r="C67" i="11"/>
  <c r="H82" i="12"/>
  <c r="C79" i="11"/>
  <c r="H81" i="12"/>
  <c r="H80"/>
  <c r="H79"/>
  <c r="H78"/>
  <c r="C76" i="11"/>
  <c r="H77" i="12"/>
  <c r="C62" i="11"/>
  <c r="H76" i="12"/>
  <c r="AR57"/>
  <c r="I42" i="11"/>
  <c r="AR56" i="12"/>
  <c r="I43" i="11"/>
  <c r="AR55" i="12"/>
  <c r="I58" i="11"/>
  <c r="AR54" i="12"/>
  <c r="I59" i="11"/>
  <c r="AR53" i="12"/>
  <c r="AR52"/>
  <c r="I47" i="11"/>
  <c r="AR51" i="12"/>
  <c r="I50" i="11"/>
  <c r="AR50" i="12"/>
  <c r="I45" i="11"/>
  <c r="AL57" i="12"/>
  <c r="AL56"/>
  <c r="H43" i="11"/>
  <c r="AL55" i="12"/>
  <c r="H58" i="11"/>
  <c r="AL54" i="12"/>
  <c r="H59" i="11"/>
  <c r="AL53" i="12"/>
  <c r="H41" i="11"/>
  <c r="AL52" i="12"/>
  <c r="H47" i="11"/>
  <c r="H52" i="12"/>
  <c r="C47" i="11"/>
  <c r="N52" i="12"/>
  <c r="D47" i="11"/>
  <c r="T52" i="12"/>
  <c r="E47" i="11"/>
  <c r="Z52" i="12"/>
  <c r="F47" i="11"/>
  <c r="AF52" i="12"/>
  <c r="G47" i="11"/>
  <c r="AL51" i="12"/>
  <c r="AL50"/>
  <c r="AF57"/>
  <c r="G42" i="11"/>
  <c r="AF56" i="12"/>
  <c r="G43" i="11"/>
  <c r="AF54" i="12"/>
  <c r="G59" i="11"/>
  <c r="AF53" i="12"/>
  <c r="G41" i="11"/>
  <c r="AF51" i="12"/>
  <c r="G50" i="11"/>
  <c r="AF50" i="12"/>
  <c r="G45" i="11"/>
  <c r="Z56" i="12"/>
  <c r="F43" i="11"/>
  <c r="Z54" i="12"/>
  <c r="F59" i="11"/>
  <c r="Z53" i="12"/>
  <c r="F41" i="11"/>
  <c r="Z51" i="12"/>
  <c r="F50" i="11"/>
  <c r="Z50" i="12"/>
  <c r="F45" i="11"/>
  <c r="T57" i="12"/>
  <c r="T56"/>
  <c r="E43" i="11"/>
  <c r="T55" i="12"/>
  <c r="E58" i="11"/>
  <c r="T54" i="12"/>
  <c r="E59" i="11"/>
  <c r="T53" i="12"/>
  <c r="E41" i="11"/>
  <c r="T51" i="12"/>
  <c r="E50" i="11"/>
  <c r="T50" i="12"/>
  <c r="E45" i="11"/>
  <c r="N57" i="12"/>
  <c r="D42" i="11"/>
  <c r="N56" i="12"/>
  <c r="D43" i="11"/>
  <c r="N55" i="12"/>
  <c r="D58" i="11"/>
  <c r="N54" i="12"/>
  <c r="D59" i="11"/>
  <c r="N53" i="12"/>
  <c r="D41" i="11"/>
  <c r="H53" i="12"/>
  <c r="C41" i="11"/>
  <c r="I41"/>
  <c r="N51" i="12"/>
  <c r="N50"/>
  <c r="D45" i="11"/>
  <c r="H57" i="12"/>
  <c r="C42" i="11"/>
  <c r="H56" i="12"/>
  <c r="C43" i="11"/>
  <c r="H55" i="12"/>
  <c r="C58" i="11"/>
  <c r="H54" i="12"/>
  <c r="H51"/>
  <c r="H50"/>
  <c r="AR40"/>
  <c r="I35" i="11"/>
  <c r="AR39" i="12"/>
  <c r="I28" i="11"/>
  <c r="AR38" i="12"/>
  <c r="I33" i="11"/>
  <c r="AR37" i="12"/>
  <c r="I30" i="11"/>
  <c r="AR36" i="12"/>
  <c r="I25" i="11"/>
  <c r="AR35" i="12"/>
  <c r="I31" i="11"/>
  <c r="AR34" i="12"/>
  <c r="I26" i="11"/>
  <c r="AR33" i="12"/>
  <c r="I29" i="11"/>
  <c r="AL40" i="12"/>
  <c r="H35" i="11"/>
  <c r="AL39" i="12"/>
  <c r="H28" i="11"/>
  <c r="AL38" i="12"/>
  <c r="H33" i="11"/>
  <c r="AL37" i="12"/>
  <c r="H30" i="11"/>
  <c r="AL36" i="12"/>
  <c r="AL35"/>
  <c r="H31" i="11"/>
  <c r="AL34" i="12"/>
  <c r="H26" i="11"/>
  <c r="AL33" i="12"/>
  <c r="H29" i="11"/>
  <c r="AF40" i="12"/>
  <c r="G35" i="11"/>
  <c r="AF39" i="12"/>
  <c r="G28" i="11"/>
  <c r="AF38" i="12"/>
  <c r="G33" i="11"/>
  <c r="AF37" i="12"/>
  <c r="G30" i="11"/>
  <c r="AF36" i="12"/>
  <c r="G25" i="11"/>
  <c r="AF35" i="12"/>
  <c r="G31" i="11"/>
  <c r="AF34" i="12"/>
  <c r="G26" i="11"/>
  <c r="AF33" i="12"/>
  <c r="G29" i="11"/>
  <c r="Z40" i="12"/>
  <c r="F35" i="11"/>
  <c r="T40" i="12"/>
  <c r="E35" i="11"/>
  <c r="N40" i="12"/>
  <c r="D35" i="11"/>
  <c r="Z39" i="12"/>
  <c r="F28" i="11"/>
  <c r="Z38" i="12"/>
  <c r="F33" i="11"/>
  <c r="Z37" i="12"/>
  <c r="F30" i="11"/>
  <c r="Z36" i="12"/>
  <c r="Z35"/>
  <c r="F31" i="11"/>
  <c r="Z34" i="12"/>
  <c r="F26" i="11"/>
  <c r="T34" i="12"/>
  <c r="E26" i="11"/>
  <c r="N34" i="12"/>
  <c r="D26" i="11"/>
  <c r="Z33" i="12"/>
  <c r="F29" i="11"/>
  <c r="T33" i="12"/>
  <c r="E29" i="11"/>
  <c r="N33" i="12"/>
  <c r="D29" i="11"/>
  <c r="T38" i="12"/>
  <c r="E33" i="11"/>
  <c r="T37" i="12"/>
  <c r="E30" i="11"/>
  <c r="T36" i="12"/>
  <c r="E25" i="11"/>
  <c r="T35" i="12"/>
  <c r="E31" i="11"/>
  <c r="N39" i="12"/>
  <c r="D28" i="11"/>
  <c r="N38" i="12"/>
  <c r="D33" i="11"/>
  <c r="N37" i="12"/>
  <c r="D30" i="11"/>
  <c r="N36" i="12"/>
  <c r="D25" i="11"/>
  <c r="N35" i="12"/>
  <c r="D31" i="11"/>
  <c r="H39" i="12"/>
  <c r="C28" i="11"/>
  <c r="AR19" i="12"/>
  <c r="I7" i="11"/>
  <c r="AR18" i="12"/>
  <c r="AR17"/>
  <c r="I11" i="11"/>
  <c r="AR16" i="12"/>
  <c r="I21" i="11"/>
  <c r="AR15" i="12"/>
  <c r="I12" i="11"/>
  <c r="AR14" i="12"/>
  <c r="I22" i="11"/>
  <c r="AR13" i="12"/>
  <c r="I13" i="11"/>
  <c r="AR12" i="12"/>
  <c r="I15" i="11"/>
  <c r="AR11" i="12"/>
  <c r="I24" i="11"/>
  <c r="AR10" i="12"/>
  <c r="I8" i="11"/>
  <c r="AL19" i="12"/>
  <c r="H7" i="11"/>
  <c r="AL18" i="12"/>
  <c r="AL17"/>
  <c r="H11" i="11"/>
  <c r="AL16" i="12"/>
  <c r="H21" i="11"/>
  <c r="AL15" i="12"/>
  <c r="H12" i="11"/>
  <c r="AL14" i="12"/>
  <c r="H22" i="11"/>
  <c r="AL13" i="12"/>
  <c r="H13" i="11"/>
  <c r="AL12" i="12"/>
  <c r="H15" i="11"/>
  <c r="AL11" i="12"/>
  <c r="H24" i="11"/>
  <c r="AL10" i="12"/>
  <c r="H8" i="11"/>
  <c r="AF19" i="12"/>
  <c r="G7" i="11"/>
  <c r="AF18" i="12"/>
  <c r="AF17"/>
  <c r="G11" i="11"/>
  <c r="AF16" i="12"/>
  <c r="G21" i="11"/>
  <c r="AF15" i="12"/>
  <c r="G12" i="11"/>
  <c r="AF14" i="12"/>
  <c r="G22" i="11"/>
  <c r="AF13" i="12"/>
  <c r="G13" i="11"/>
  <c r="AF12" i="12"/>
  <c r="G15" i="11"/>
  <c r="AF11" i="12"/>
  <c r="G24" i="11"/>
  <c r="AF10" i="12"/>
  <c r="G8" i="11"/>
  <c r="Z19" i="12"/>
  <c r="F7" i="11"/>
  <c r="Z18" i="12"/>
  <c r="Z17"/>
  <c r="F11" i="11"/>
  <c r="Z16" i="12"/>
  <c r="F21" i="11"/>
  <c r="Z15" i="12"/>
  <c r="F12" i="11"/>
  <c r="Z14" i="12"/>
  <c r="F22" i="11"/>
  <c r="Z13" i="12"/>
  <c r="F13" i="11"/>
  <c r="Z12" i="12"/>
  <c r="F15" i="11"/>
  <c r="Z11" i="12"/>
  <c r="F24" i="11"/>
  <c r="Z10" i="12"/>
  <c r="F8" i="11"/>
  <c r="T19" i="12"/>
  <c r="E7" i="11"/>
  <c r="T18" i="12"/>
  <c r="T17"/>
  <c r="E11" i="11"/>
  <c r="T15" i="12"/>
  <c r="E12" i="11"/>
  <c r="T14" i="12"/>
  <c r="E22" i="11"/>
  <c r="T13" i="12"/>
  <c r="E13" i="11"/>
  <c r="T12" i="12"/>
  <c r="E15" i="11"/>
  <c r="T11" i="12"/>
  <c r="E24" i="11"/>
  <c r="T10" i="12"/>
  <c r="E8" i="11"/>
  <c r="N19" i="12"/>
  <c r="D7" i="11"/>
  <c r="N18" i="12"/>
  <c r="N17"/>
  <c r="D11" i="11"/>
  <c r="N16" i="12"/>
  <c r="D21" i="11"/>
  <c r="N15" i="12"/>
  <c r="D12" i="11"/>
  <c r="N14" i="12"/>
  <c r="N13"/>
  <c r="D13" i="11"/>
  <c r="N12" i="12"/>
  <c r="D15" i="11"/>
  <c r="N11" i="12"/>
  <c r="N10"/>
  <c r="D8" i="11"/>
  <c r="H19" i="12"/>
  <c r="C7" i="11"/>
  <c r="H18" i="12"/>
  <c r="H17"/>
  <c r="C11" i="11"/>
  <c r="H16" i="12"/>
  <c r="C21" i="11"/>
  <c r="H15" i="12"/>
  <c r="C12" i="11"/>
  <c r="H14" i="12"/>
  <c r="H13"/>
  <c r="C13" i="11"/>
  <c r="H12" i="12"/>
  <c r="C15" i="11"/>
  <c r="H11" i="12"/>
  <c r="C24" i="11"/>
  <c r="H10" i="12"/>
  <c r="C8" i="11"/>
  <c r="AT10" i="12"/>
  <c r="K8" i="11"/>
  <c r="AR2" i="12"/>
  <c r="I3" i="11"/>
  <c r="AL2" i="12"/>
  <c r="H3" i="11"/>
  <c r="AF2" i="12"/>
  <c r="G3" i="11"/>
  <c r="Z2" i="12"/>
  <c r="F3" i="11"/>
  <c r="T2" i="12"/>
  <c r="E3" i="11"/>
  <c r="N2" i="12"/>
  <c r="D3" i="11"/>
  <c r="H6" i="12"/>
  <c r="C6" i="11"/>
  <c r="H5" i="12"/>
  <c r="C2" i="11"/>
  <c r="N5" i="12"/>
  <c r="D2" i="11"/>
  <c r="T5" i="12"/>
  <c r="E2" i="11"/>
  <c r="Z5" i="12"/>
  <c r="F2" i="11"/>
  <c r="AF5" i="12"/>
  <c r="G2" i="11"/>
  <c r="AL5" i="12"/>
  <c r="H2" i="11"/>
  <c r="AR5" i="12"/>
  <c r="I2" i="11"/>
  <c r="H4" i="12"/>
  <c r="C4" i="11"/>
  <c r="H3" i="12"/>
  <c r="C5" i="11"/>
  <c r="H2" i="12"/>
  <c r="C3" i="11"/>
  <c r="F42"/>
  <c r="AT57" i="12"/>
  <c r="K42" i="11"/>
  <c r="AT56" i="12"/>
  <c r="K43" i="11"/>
  <c r="H42"/>
  <c r="AT108" i="12"/>
  <c r="K88" i="11"/>
  <c r="AT5" i="12"/>
  <c r="AU5"/>
  <c r="AT4"/>
  <c r="K4" i="11"/>
  <c r="L4" s="1"/>
  <c r="AR6" i="12"/>
  <c r="I6" i="11"/>
  <c r="AR4" i="12"/>
  <c r="I4" i="11"/>
  <c r="AL6" i="12"/>
  <c r="H6" i="11"/>
  <c r="AL4" i="12"/>
  <c r="H4" i="11"/>
  <c r="AF6" i="12"/>
  <c r="G6" i="11"/>
  <c r="AF4" i="12"/>
  <c r="G4" i="11"/>
  <c r="Z6" i="12"/>
  <c r="F6" i="11"/>
  <c r="Z4" i="12"/>
  <c r="F4" i="11"/>
  <c r="T6" i="12"/>
  <c r="E6" i="11"/>
  <c r="T4" i="12"/>
  <c r="E4" i="11"/>
  <c r="N6" i="12"/>
  <c r="D6" i="11"/>
  <c r="N4" i="12"/>
  <c r="AS4"/>
  <c r="AT106"/>
  <c r="K91" i="11"/>
  <c r="AT19" i="12"/>
  <c r="K7" i="11"/>
  <c r="AT103" i="12"/>
  <c r="K87" i="11"/>
  <c r="AT101" i="12"/>
  <c r="AT100"/>
  <c r="AT84"/>
  <c r="K73" i="11"/>
  <c r="AT83" i="12"/>
  <c r="K67" i="11"/>
  <c r="AT81" i="12"/>
  <c r="K75" i="11"/>
  <c r="AT80" i="12"/>
  <c r="K70" i="11"/>
  <c r="C70"/>
  <c r="E70"/>
  <c r="I70"/>
  <c r="AT78" i="12"/>
  <c r="K76" i="11"/>
  <c r="AT77" i="12"/>
  <c r="K62" i="11"/>
  <c r="H62"/>
  <c r="AT76" i="12"/>
  <c r="AT54"/>
  <c r="AU54"/>
  <c r="AT53"/>
  <c r="K41" i="11"/>
  <c r="AT52" i="12"/>
  <c r="K47" i="11"/>
  <c r="AT51" i="12"/>
  <c r="AT50"/>
  <c r="K45" i="11"/>
  <c r="K25"/>
  <c r="AT18" i="12"/>
  <c r="AU18"/>
  <c r="AT17"/>
  <c r="K11" i="11"/>
  <c r="AT15" i="12"/>
  <c r="K12" i="11"/>
  <c r="AT14" i="12"/>
  <c r="AU14"/>
  <c r="AT13"/>
  <c r="K13" i="11"/>
  <c r="AT12" i="12"/>
  <c r="K15" i="11"/>
  <c r="AT11" i="12"/>
  <c r="AU11"/>
  <c r="AT3"/>
  <c r="AU3"/>
  <c r="AT2"/>
  <c r="H95" i="11"/>
  <c r="H73"/>
  <c r="H75"/>
  <c r="H76"/>
  <c r="H50"/>
  <c r="H45"/>
  <c r="AR3" i="12"/>
  <c r="I5" i="11"/>
  <c r="AL3" i="12"/>
  <c r="H5" i="11"/>
  <c r="AF3" i="12"/>
  <c r="G5" i="11"/>
  <c r="Z3" i="12"/>
  <c r="F5" i="11"/>
  <c r="T3" i="12"/>
  <c r="E5" i="11"/>
  <c r="F25"/>
  <c r="G100"/>
  <c r="G99"/>
  <c r="F95"/>
  <c r="E83"/>
  <c r="G67"/>
  <c r="G76"/>
  <c r="F64"/>
  <c r="C87"/>
  <c r="D75"/>
  <c r="D78"/>
  <c r="N3" i="12"/>
  <c r="D5" i="11"/>
  <c r="K31"/>
  <c r="E34"/>
  <c r="I34"/>
  <c r="AU114" i="12"/>
  <c r="AU23"/>
  <c r="AU59"/>
  <c r="F37" i="11"/>
  <c r="D89"/>
  <c r="AU92" i="12"/>
  <c r="G52" i="11"/>
  <c r="AU68" i="12"/>
  <c r="AS116"/>
  <c r="AU25"/>
  <c r="D80" i="11"/>
  <c r="AS89" i="12"/>
  <c r="AU65"/>
  <c r="D98" i="11"/>
  <c r="C101"/>
  <c r="AE35" i="1"/>
  <c r="AD35"/>
  <c r="D64" i="11"/>
  <c r="C64"/>
  <c r="K64"/>
  <c r="AS110" i="12"/>
  <c r="AU110"/>
  <c r="AU82"/>
  <c r="AS12"/>
  <c r="AU61"/>
  <c r="D16" i="11"/>
  <c r="D69"/>
  <c r="AS53" i="12"/>
  <c r="AU53"/>
  <c r="C50" i="11"/>
  <c r="K2"/>
  <c r="L2" s="1"/>
  <c r="D24"/>
  <c r="AU85" i="12"/>
  <c r="E61" i="11"/>
  <c r="AS93" i="12"/>
  <c r="AS19"/>
  <c r="AS22"/>
  <c r="AU29"/>
  <c r="C95" i="11"/>
  <c r="AU6" i="12"/>
  <c r="K6" i="11"/>
  <c r="L6"/>
  <c r="AU102" i="12"/>
  <c r="K9" i="11"/>
  <c r="C53"/>
  <c r="AS113" i="12"/>
  <c r="C22" i="11"/>
  <c r="H25"/>
  <c r="C75"/>
  <c r="E73"/>
  <c r="K63"/>
  <c r="AE11" i="1"/>
  <c r="AU2" i="12"/>
  <c r="AS40"/>
  <c r="AU40"/>
  <c r="AS39"/>
  <c r="AU39"/>
  <c r="AE40" i="1"/>
  <c r="AD40"/>
  <c r="AE50"/>
  <c r="AD50"/>
  <c r="AE48"/>
  <c r="AD48"/>
  <c r="AE57"/>
  <c r="AD57"/>
  <c r="D83" i="11"/>
  <c r="AU19" i="12"/>
  <c r="AU4"/>
  <c r="D22" i="11"/>
  <c r="AS17" i="12"/>
  <c r="AU17"/>
  <c r="AU51"/>
  <c r="D50" i="11"/>
  <c r="D73"/>
  <c r="AS106" i="12"/>
  <c r="AU106"/>
  <c r="D85" i="11"/>
  <c r="AU109" i="12"/>
  <c r="K14" i="11"/>
  <c r="K33"/>
  <c r="AS21" i="12"/>
  <c r="K86" i="11"/>
  <c r="D96"/>
  <c r="C97"/>
  <c r="AU117" i="12"/>
  <c r="F55" i="11"/>
  <c r="AS72" i="12"/>
  <c r="AU72"/>
  <c r="G46" i="11"/>
  <c r="K3"/>
  <c r="L3" s="1"/>
  <c r="AT120" i="12"/>
  <c r="E42" i="11"/>
  <c r="AS78" i="12"/>
  <c r="D67" i="11"/>
  <c r="AS83" i="12"/>
  <c r="D100" i="11"/>
  <c r="AU105" i="12"/>
  <c r="D84" i="11"/>
  <c r="C25"/>
  <c r="AS36" i="12"/>
  <c r="AU36"/>
  <c r="K29" i="11"/>
  <c r="D63"/>
  <c r="AS87" i="12"/>
  <c r="AU87"/>
  <c r="AS20"/>
  <c r="AU20"/>
  <c r="AS27"/>
  <c r="E49" i="11"/>
  <c r="K90"/>
  <c r="AS38" i="12"/>
  <c r="AU38"/>
  <c r="AS115"/>
  <c r="C59" i="11"/>
  <c r="AS90" i="12"/>
  <c r="AU90"/>
  <c r="AS15"/>
  <c r="AU15"/>
  <c r="D57" i="11"/>
  <c r="AS62" i="12"/>
  <c r="AU62"/>
  <c r="AS11"/>
  <c r="AU42"/>
  <c r="AE29" i="1"/>
  <c r="AD29"/>
  <c r="AB19"/>
  <c r="AE17"/>
  <c r="AB54"/>
  <c r="AC54"/>
  <c r="AE24"/>
  <c r="AD24"/>
  <c r="AT8" i="12"/>
  <c r="AU8"/>
  <c r="O23" i="54"/>
  <c r="O29"/>
  <c r="W24"/>
  <c r="O35"/>
  <c r="O71"/>
  <c r="W66"/>
  <c r="O17" i="55"/>
  <c r="W12"/>
  <c r="Q17"/>
  <c r="O23"/>
  <c r="W18"/>
  <c r="O35"/>
  <c r="O47"/>
  <c r="W42"/>
  <c r="L11" i="54"/>
  <c r="O47"/>
  <c r="O23" i="53"/>
  <c r="M8"/>
  <c r="M9"/>
  <c r="M14"/>
  <c r="M16"/>
  <c r="M18"/>
  <c r="M34"/>
  <c r="L11"/>
  <c r="M44"/>
  <c r="O65"/>
  <c r="Q65"/>
  <c r="L11" i="52"/>
  <c r="O17"/>
  <c r="O23"/>
  <c r="O35"/>
  <c r="O47"/>
  <c r="Q47"/>
  <c r="W42"/>
  <c r="O17" i="50"/>
  <c r="Q17"/>
  <c r="O23"/>
  <c r="O47"/>
  <c r="W48" i="46"/>
  <c r="L11"/>
  <c r="O17"/>
  <c r="Q17"/>
  <c r="O23"/>
  <c r="Q23"/>
  <c r="O35"/>
  <c r="W30"/>
  <c r="O47"/>
  <c r="W42"/>
  <c r="W60" i="45"/>
  <c r="L11"/>
  <c r="O35"/>
  <c r="W30"/>
  <c r="W30" i="55"/>
  <c r="W60" i="53"/>
  <c r="W18"/>
  <c r="W30" i="52"/>
  <c r="W18"/>
  <c r="W12" i="50"/>
  <c r="W42"/>
  <c r="W18"/>
  <c r="AC53" i="46"/>
  <c r="AB42"/>
  <c r="W12"/>
  <c r="Z42"/>
  <c r="O11" i="45"/>
  <c r="W6"/>
  <c r="O65" i="54"/>
  <c r="W60"/>
  <c r="O41"/>
  <c r="P71"/>
  <c r="Q71"/>
  <c r="AC29"/>
  <c r="AB18"/>
  <c r="W36"/>
  <c r="O11"/>
  <c r="Q11"/>
  <c r="W18"/>
  <c r="Z30"/>
  <c r="W42"/>
  <c r="O11" i="55"/>
  <c r="W6"/>
  <c r="AC17"/>
  <c r="AB6"/>
  <c r="M7"/>
  <c r="M10"/>
  <c r="M36" i="52"/>
  <c r="M39"/>
  <c r="M40"/>
  <c r="M38"/>
  <c r="W12"/>
  <c r="M12" i="50"/>
  <c r="M15"/>
  <c r="M7"/>
  <c r="M10"/>
  <c r="M37"/>
  <c r="W6" i="54"/>
  <c r="Z6" i="55"/>
  <c r="M60" i="54"/>
  <c r="M54"/>
  <c r="N9"/>
  <c r="B9"/>
  <c r="P65"/>
  <c r="Q65"/>
  <c r="M66"/>
  <c r="P47"/>
  <c r="Q47"/>
  <c r="M36"/>
  <c r="P41"/>
  <c r="Q41"/>
  <c r="Q35"/>
  <c r="M30"/>
  <c r="Y18"/>
  <c r="P59"/>
  <c r="O53"/>
  <c r="Y42"/>
  <c r="W30"/>
  <c r="AC41"/>
  <c r="AB30"/>
  <c r="M8"/>
  <c r="M7"/>
  <c r="M6"/>
  <c r="M12"/>
  <c r="W48"/>
  <c r="Q53"/>
  <c r="Z42"/>
  <c r="O17" i="45"/>
  <c r="Q17"/>
  <c r="O23"/>
  <c r="O41"/>
  <c r="Q41"/>
  <c r="P11"/>
  <c r="P23"/>
  <c r="P35"/>
  <c r="Q35"/>
  <c r="P47"/>
  <c r="P59"/>
  <c r="W36"/>
  <c r="W12"/>
  <c r="Q23"/>
  <c r="W18"/>
  <c r="Q59" i="54"/>
  <c r="O53" i="53"/>
  <c r="W48"/>
  <c r="Q53"/>
  <c r="Q65" i="52"/>
  <c r="W48"/>
  <c r="AC53"/>
  <c r="AB42"/>
  <c r="P53"/>
  <c r="Q53"/>
  <c r="Y42"/>
  <c r="P41"/>
  <c r="Q41"/>
  <c r="Y18"/>
  <c r="O29"/>
  <c r="P23"/>
  <c r="Q23"/>
  <c r="O11"/>
  <c r="W6"/>
  <c r="N6"/>
  <c r="B6"/>
  <c r="O47" i="53"/>
  <c r="AC53"/>
  <c r="AB42"/>
  <c r="P35"/>
  <c r="O35"/>
  <c r="O29"/>
  <c r="W24"/>
  <c r="P23"/>
  <c r="Q23"/>
  <c r="O17"/>
  <c r="M6"/>
  <c r="L65"/>
  <c r="Y6"/>
  <c r="L11" i="55"/>
  <c r="M8"/>
  <c r="W60"/>
  <c r="P65"/>
  <c r="Q65"/>
  <c r="Y54"/>
  <c r="P59"/>
  <c r="Q59"/>
  <c r="O53"/>
  <c r="P47"/>
  <c r="Q47"/>
  <c r="O41"/>
  <c r="P35"/>
  <c r="Q35"/>
  <c r="O29"/>
  <c r="W24"/>
  <c r="Q23"/>
  <c r="N7"/>
  <c r="B7"/>
  <c r="N6"/>
  <c r="B6"/>
  <c r="N10"/>
  <c r="B10"/>
  <c r="N9"/>
  <c r="B9"/>
  <c r="N8"/>
  <c r="B8"/>
  <c r="P11"/>
  <c r="Q11"/>
  <c r="N6" i="53"/>
  <c r="B6"/>
  <c r="N7"/>
  <c r="B7"/>
  <c r="N9"/>
  <c r="B9"/>
  <c r="O59"/>
  <c r="Q59"/>
  <c r="P59"/>
  <c r="N8"/>
  <c r="B8"/>
  <c r="P11"/>
  <c r="O11"/>
  <c r="AC17"/>
  <c r="AB6"/>
  <c r="W54" i="52"/>
  <c r="P59"/>
  <c r="Q59"/>
  <c r="Q35"/>
  <c r="N7"/>
  <c r="B7"/>
  <c r="N10"/>
  <c r="B10"/>
  <c r="N9"/>
  <c r="B9"/>
  <c r="N8"/>
  <c r="B8"/>
  <c r="Y6"/>
  <c r="P59" i="46"/>
  <c r="P11"/>
  <c r="O11"/>
  <c r="Q11" i="45"/>
  <c r="N10" i="54"/>
  <c r="B10"/>
  <c r="N7"/>
  <c r="B7"/>
  <c r="N8"/>
  <c r="B8"/>
  <c r="M12" i="45"/>
  <c r="AC17"/>
  <c r="AB6"/>
  <c r="R6" i="53"/>
  <c r="Z18" i="52"/>
  <c r="AA18"/>
  <c r="W24"/>
  <c r="AC29"/>
  <c r="AB18"/>
  <c r="Q29"/>
  <c r="Q11"/>
  <c r="R12"/>
  <c r="U12"/>
  <c r="AC17"/>
  <c r="AB6"/>
  <c r="Z6"/>
  <c r="W42" i="53"/>
  <c r="Q47"/>
  <c r="AI53"/>
  <c r="W30"/>
  <c r="Q35"/>
  <c r="Z18"/>
  <c r="Q29"/>
  <c r="AC29"/>
  <c r="AB18"/>
  <c r="Q17"/>
  <c r="W12"/>
  <c r="AI54"/>
  <c r="AI55"/>
  <c r="R12" i="55"/>
  <c r="U12"/>
  <c r="R24"/>
  <c r="R6"/>
  <c r="U6"/>
  <c r="R18"/>
  <c r="U18"/>
  <c r="W48"/>
  <c r="Q53"/>
  <c r="AC53"/>
  <c r="AB42"/>
  <c r="Z42"/>
  <c r="W36"/>
  <c r="Z30"/>
  <c r="AA30"/>
  <c r="AC41"/>
  <c r="AB30"/>
  <c r="Q41"/>
  <c r="R42"/>
  <c r="U42"/>
  <c r="Q29"/>
  <c r="R30"/>
  <c r="U30"/>
  <c r="U24"/>
  <c r="Z18"/>
  <c r="AI55"/>
  <c r="AH55"/>
  <c r="AH54"/>
  <c r="AI51"/>
  <c r="AH52"/>
  <c r="AC65" i="53"/>
  <c r="AB54"/>
  <c r="W54"/>
  <c r="Z54"/>
  <c r="U6"/>
  <c r="Q11"/>
  <c r="AH55" i="52"/>
  <c r="AI53"/>
  <c r="AI51"/>
  <c r="Q59" i="46"/>
  <c r="Q11"/>
  <c r="AC17"/>
  <c r="AB6"/>
  <c r="W6"/>
  <c r="Z6"/>
  <c r="AI60" i="54"/>
  <c r="AH60"/>
  <c r="AH58"/>
  <c r="AI57"/>
  <c r="AI58"/>
  <c r="AH57"/>
  <c r="AH59"/>
  <c r="AI59"/>
  <c r="T6" i="52"/>
  <c r="AD6"/>
  <c r="T6" i="53"/>
  <c r="AD6"/>
  <c r="T6" i="55"/>
  <c r="AD6"/>
  <c r="O59" i="45"/>
  <c r="W48"/>
  <c r="Q53"/>
  <c r="Q47"/>
  <c r="AC41"/>
  <c r="AB30"/>
  <c r="O29"/>
  <c r="AC29"/>
  <c r="AB18"/>
  <c r="N10"/>
  <c r="B10"/>
  <c r="N9"/>
  <c r="B9"/>
  <c r="N8"/>
  <c r="B8"/>
  <c r="N7"/>
  <c r="B7"/>
  <c r="N6"/>
  <c r="B6"/>
  <c r="O65" i="46"/>
  <c r="Q47"/>
  <c r="Y42"/>
  <c r="AA42"/>
  <c r="O41"/>
  <c r="W36"/>
  <c r="Q35"/>
  <c r="P35"/>
  <c r="W18"/>
  <c r="Y18"/>
  <c r="N8"/>
  <c r="B8"/>
  <c r="N6"/>
  <c r="B6"/>
  <c r="N7"/>
  <c r="B7"/>
  <c r="N9"/>
  <c r="B9"/>
  <c r="N10"/>
  <c r="B10"/>
  <c r="O65" i="50"/>
  <c r="AC65"/>
  <c r="AB54"/>
  <c r="W54"/>
  <c r="Z54"/>
  <c r="P59"/>
  <c r="Q59"/>
  <c r="Y54"/>
  <c r="AA54"/>
  <c r="O53"/>
  <c r="W48"/>
  <c r="P47"/>
  <c r="Q47"/>
  <c r="P41"/>
  <c r="Q41"/>
  <c r="Y30"/>
  <c r="P35"/>
  <c r="Q35"/>
  <c r="P23"/>
  <c r="Q23"/>
  <c r="N9"/>
  <c r="B9"/>
  <c r="N8"/>
  <c r="B8"/>
  <c r="N10"/>
  <c r="B10"/>
  <c r="N7"/>
  <c r="B7"/>
  <c r="O11"/>
  <c r="Z6"/>
  <c r="W54" i="45"/>
  <c r="Q59"/>
  <c r="AC65"/>
  <c r="AB54"/>
  <c r="Z54"/>
  <c r="Q29"/>
  <c r="W24"/>
  <c r="T6"/>
  <c r="AD6"/>
  <c r="AH51"/>
  <c r="AI53"/>
  <c r="AH55"/>
  <c r="AI52"/>
  <c r="AH53"/>
  <c r="W60" i="46"/>
  <c r="Q65"/>
  <c r="Z30"/>
  <c r="Q41"/>
  <c r="R48"/>
  <c r="U48"/>
  <c r="W60" i="50"/>
  <c r="Q65"/>
  <c r="Q53"/>
  <c r="Z42"/>
  <c r="AA42"/>
  <c r="W6"/>
  <c r="AH54"/>
  <c r="AH52"/>
  <c r="AH55"/>
  <c r="AI55"/>
  <c r="AI52"/>
  <c r="AI54"/>
  <c r="AH53"/>
  <c r="AI53"/>
  <c r="R6" i="45"/>
  <c r="U6"/>
  <c r="T6" i="46"/>
  <c r="AD6"/>
  <c r="T6" i="50"/>
  <c r="AD6"/>
  <c r="AH52" i="46"/>
  <c r="AH53"/>
  <c r="R6"/>
  <c r="U6"/>
  <c r="R24"/>
  <c r="U24"/>
  <c r="R42"/>
  <c r="U42"/>
  <c r="AC65" i="54"/>
  <c r="AB54"/>
  <c r="W54"/>
  <c r="Z54"/>
  <c r="Y54"/>
  <c r="L71"/>
  <c r="AA42"/>
  <c r="AC53"/>
  <c r="AB42"/>
  <c r="Z18"/>
  <c r="AA18"/>
  <c r="O17"/>
  <c r="Y6"/>
  <c r="N66"/>
  <c r="B66"/>
  <c r="R6"/>
  <c r="U6"/>
  <c r="N48"/>
  <c r="B48"/>
  <c r="N30"/>
  <c r="B30"/>
  <c r="N42"/>
  <c r="B42"/>
  <c r="N18"/>
  <c r="B18"/>
  <c r="N12"/>
  <c r="B12"/>
  <c r="N6"/>
  <c r="B6"/>
  <c r="N28"/>
  <c r="B28"/>
  <c r="N26"/>
  <c r="B26"/>
  <c r="N40"/>
  <c r="B40"/>
  <c r="N38"/>
  <c r="B38"/>
  <c r="N52"/>
  <c r="B52"/>
  <c r="N50"/>
  <c r="B50"/>
  <c r="N68"/>
  <c r="B68"/>
  <c r="N69"/>
  <c r="B69"/>
  <c r="N70"/>
  <c r="B70"/>
  <c r="N61"/>
  <c r="B61"/>
  <c r="N62"/>
  <c r="B62"/>
  <c r="N63"/>
  <c r="B63"/>
  <c r="N64"/>
  <c r="B64"/>
  <c r="N55"/>
  <c r="B55"/>
  <c r="N56"/>
  <c r="B56"/>
  <c r="N57"/>
  <c r="B57"/>
  <c r="N58"/>
  <c r="B58"/>
  <c r="N43"/>
  <c r="B43"/>
  <c r="N44"/>
  <c r="B44"/>
  <c r="N45"/>
  <c r="B45"/>
  <c r="N46"/>
  <c r="B46"/>
  <c r="N31"/>
  <c r="B31"/>
  <c r="N32"/>
  <c r="B32"/>
  <c r="N33"/>
  <c r="B33"/>
  <c r="N34"/>
  <c r="B34"/>
  <c r="N19"/>
  <c r="B19"/>
  <c r="N20"/>
  <c r="B20"/>
  <c r="N21"/>
  <c r="B21"/>
  <c r="N22"/>
  <c r="B22"/>
  <c r="N16"/>
  <c r="B16"/>
  <c r="N15"/>
  <c r="B15"/>
  <c r="N14"/>
  <c r="B14"/>
  <c r="N13"/>
  <c r="B13"/>
  <c r="N49"/>
  <c r="B49"/>
  <c r="N37"/>
  <c r="B37"/>
  <c r="N39"/>
  <c r="B39"/>
  <c r="N25"/>
  <c r="B25"/>
  <c r="N27"/>
  <c r="B27"/>
  <c r="N51"/>
  <c r="B51"/>
  <c r="N67"/>
  <c r="B67"/>
  <c r="N36"/>
  <c r="B36"/>
  <c r="N54"/>
  <c r="B54"/>
  <c r="N24"/>
  <c r="B24"/>
  <c r="N60"/>
  <c r="B60"/>
  <c r="Z6"/>
  <c r="AA6"/>
  <c r="W54" i="55"/>
  <c r="AC65"/>
  <c r="AB54"/>
  <c r="Z54"/>
  <c r="AA54"/>
  <c r="AA42"/>
  <c r="R48"/>
  <c r="U48"/>
  <c r="R54"/>
  <c r="U54"/>
  <c r="R36"/>
  <c r="U36"/>
  <c r="AA18"/>
  <c r="AH53"/>
  <c r="AI53"/>
  <c r="AI54"/>
  <c r="AH51"/>
  <c r="AC29"/>
  <c r="AB18"/>
  <c r="R60"/>
  <c r="U60"/>
  <c r="P23"/>
  <c r="L65"/>
  <c r="AA6"/>
  <c r="N60"/>
  <c r="B60"/>
  <c r="N64"/>
  <c r="B64"/>
  <c r="N62"/>
  <c r="B62"/>
  <c r="N58"/>
  <c r="B58"/>
  <c r="N56"/>
  <c r="B56"/>
  <c r="N54"/>
  <c r="B54"/>
  <c r="N40"/>
  <c r="B40"/>
  <c r="N38"/>
  <c r="B38"/>
  <c r="N34"/>
  <c r="B34"/>
  <c r="N32"/>
  <c r="B32"/>
  <c r="N30"/>
  <c r="B30"/>
  <c r="N18"/>
  <c r="B18"/>
  <c r="N52"/>
  <c r="B52"/>
  <c r="N50"/>
  <c r="B50"/>
  <c r="N46"/>
  <c r="B46"/>
  <c r="N44"/>
  <c r="B44"/>
  <c r="N42"/>
  <c r="B42"/>
  <c r="N28"/>
  <c r="B28"/>
  <c r="N26"/>
  <c r="B26"/>
  <c r="N22"/>
  <c r="B22"/>
  <c r="N20"/>
  <c r="B20"/>
  <c r="N16"/>
  <c r="B16"/>
  <c r="N15"/>
  <c r="B15"/>
  <c r="N13"/>
  <c r="B13"/>
  <c r="N14"/>
  <c r="B14"/>
  <c r="N19"/>
  <c r="B19"/>
  <c r="N21"/>
  <c r="B21"/>
  <c r="N25"/>
  <c r="B25"/>
  <c r="N27"/>
  <c r="B27"/>
  <c r="N36"/>
  <c r="B36"/>
  <c r="N43"/>
  <c r="B43"/>
  <c r="N45"/>
  <c r="B45"/>
  <c r="N49"/>
  <c r="B49"/>
  <c r="N51"/>
  <c r="B51"/>
  <c r="N12"/>
  <c r="B12"/>
  <c r="N24"/>
  <c r="B24"/>
  <c r="N31"/>
  <c r="B31"/>
  <c r="N33"/>
  <c r="B33"/>
  <c r="N37"/>
  <c r="B37"/>
  <c r="N39"/>
  <c r="B39"/>
  <c r="N48"/>
  <c r="B48"/>
  <c r="N55"/>
  <c r="B55"/>
  <c r="N57"/>
  <c r="B57"/>
  <c r="N61"/>
  <c r="B61"/>
  <c r="N63"/>
  <c r="B63"/>
  <c r="T18"/>
  <c r="T54"/>
  <c r="AD54"/>
  <c r="T30"/>
  <c r="AD30"/>
  <c r="T42"/>
  <c r="AD42"/>
  <c r="AK6"/>
  <c r="AA54" i="53"/>
  <c r="AH54"/>
  <c r="AH55"/>
  <c r="AH52"/>
  <c r="AI52"/>
  <c r="Z42"/>
  <c r="Y42"/>
  <c r="O41"/>
  <c r="AA18"/>
  <c r="R54"/>
  <c r="U54"/>
  <c r="W6"/>
  <c r="Z6"/>
  <c r="AA6"/>
  <c r="N51"/>
  <c r="B51"/>
  <c r="N61"/>
  <c r="B61"/>
  <c r="N18"/>
  <c r="B18"/>
  <c r="N28"/>
  <c r="B28"/>
  <c r="N38"/>
  <c r="B38"/>
  <c r="N12"/>
  <c r="B12"/>
  <c r="N14"/>
  <c r="B14"/>
  <c r="N48"/>
  <c r="B48"/>
  <c r="N46"/>
  <c r="B46"/>
  <c r="N32"/>
  <c r="B32"/>
  <c r="N33"/>
  <c r="B33"/>
  <c r="N20"/>
  <c r="B20"/>
  <c r="N16"/>
  <c r="B16"/>
  <c r="N25"/>
  <c r="B25"/>
  <c r="N60"/>
  <c r="B60"/>
  <c r="N34"/>
  <c r="B34"/>
  <c r="N13"/>
  <c r="B13"/>
  <c r="N42"/>
  <c r="B42"/>
  <c r="N45"/>
  <c r="B45"/>
  <c r="N22"/>
  <c r="B22"/>
  <c r="N58"/>
  <c r="B58"/>
  <c r="N36"/>
  <c r="B36"/>
  <c r="N24"/>
  <c r="B24"/>
  <c r="N63"/>
  <c r="B63"/>
  <c r="N40"/>
  <c r="B40"/>
  <c r="N62"/>
  <c r="B62"/>
  <c r="N49"/>
  <c r="B49"/>
  <c r="N37"/>
  <c r="B37"/>
  <c r="N64"/>
  <c r="B64"/>
  <c r="N54"/>
  <c r="B54"/>
  <c r="N55"/>
  <c r="B55"/>
  <c r="N21"/>
  <c r="B21"/>
  <c r="N43"/>
  <c r="B43"/>
  <c r="N31"/>
  <c r="B31"/>
  <c r="N10"/>
  <c r="B10"/>
  <c r="N56"/>
  <c r="B56"/>
  <c r="N44"/>
  <c r="B44"/>
  <c r="N30"/>
  <c r="B30"/>
  <c r="N26"/>
  <c r="B26"/>
  <c r="N50"/>
  <c r="B50"/>
  <c r="N15"/>
  <c r="B15"/>
  <c r="N57"/>
  <c r="B57"/>
  <c r="N52"/>
  <c r="B52"/>
  <c r="N19"/>
  <c r="B19"/>
  <c r="N39"/>
  <c r="B39"/>
  <c r="N27"/>
  <c r="B27"/>
  <c r="R24"/>
  <c r="U24"/>
  <c r="R48"/>
  <c r="U48"/>
  <c r="R60"/>
  <c r="U60"/>
  <c r="R18"/>
  <c r="U18"/>
  <c r="R42"/>
  <c r="U42"/>
  <c r="R12"/>
  <c r="U12"/>
  <c r="R36"/>
  <c r="U36"/>
  <c r="R30"/>
  <c r="U30"/>
  <c r="AH54" i="52"/>
  <c r="AI52"/>
  <c r="Y54"/>
  <c r="Z54"/>
  <c r="AC65"/>
  <c r="AB54"/>
  <c r="AH53"/>
  <c r="AH52"/>
  <c r="AH51"/>
  <c r="AI54"/>
  <c r="AA42"/>
  <c r="W36"/>
  <c r="AC41"/>
  <c r="AB30"/>
  <c r="Z30"/>
  <c r="L65"/>
  <c r="AA30"/>
  <c r="P35"/>
  <c r="AA6"/>
  <c r="N20"/>
  <c r="B20"/>
  <c r="N16"/>
  <c r="B16"/>
  <c r="N14"/>
  <c r="B14"/>
  <c r="N13"/>
  <c r="B13"/>
  <c r="N15"/>
  <c r="B15"/>
  <c r="N19"/>
  <c r="B19"/>
  <c r="N21"/>
  <c r="B21"/>
  <c r="N22"/>
  <c r="B22"/>
  <c r="N25"/>
  <c r="B25"/>
  <c r="N26"/>
  <c r="B26"/>
  <c r="N27"/>
  <c r="B27"/>
  <c r="N28"/>
  <c r="B28"/>
  <c r="N36"/>
  <c r="B36"/>
  <c r="N42"/>
  <c r="B42"/>
  <c r="N43"/>
  <c r="B43"/>
  <c r="N44"/>
  <c r="B44"/>
  <c r="N45"/>
  <c r="B45"/>
  <c r="N46"/>
  <c r="B46"/>
  <c r="N49"/>
  <c r="B49"/>
  <c r="N50"/>
  <c r="B50"/>
  <c r="N51"/>
  <c r="B51"/>
  <c r="N60"/>
  <c r="B60"/>
  <c r="N12"/>
  <c r="B12"/>
  <c r="N18"/>
  <c r="B18"/>
  <c r="N24"/>
  <c r="B24"/>
  <c r="N30"/>
  <c r="B30"/>
  <c r="N31"/>
  <c r="B31"/>
  <c r="N32"/>
  <c r="B32"/>
  <c r="N33"/>
  <c r="B33"/>
  <c r="N34"/>
  <c r="B34"/>
  <c r="N37"/>
  <c r="B37"/>
  <c r="N38"/>
  <c r="B38"/>
  <c r="N39"/>
  <c r="B39"/>
  <c r="N40"/>
  <c r="B40"/>
  <c r="N48"/>
  <c r="B48"/>
  <c r="N54"/>
  <c r="B54"/>
  <c r="N55"/>
  <c r="B55"/>
  <c r="N56"/>
  <c r="B56"/>
  <c r="N57"/>
  <c r="B57"/>
  <c r="N58"/>
  <c r="B58"/>
  <c r="N61"/>
  <c r="B61"/>
  <c r="N62"/>
  <c r="B62"/>
  <c r="N63"/>
  <c r="B63"/>
  <c r="N64"/>
  <c r="B64"/>
  <c r="N52"/>
  <c r="B52"/>
  <c r="AI8"/>
  <c r="T42"/>
  <c r="AD42"/>
  <c r="T30"/>
  <c r="AD30"/>
  <c r="T54"/>
  <c r="AD54"/>
  <c r="T18"/>
  <c r="R54"/>
  <c r="U54"/>
  <c r="R42"/>
  <c r="U42"/>
  <c r="R30"/>
  <c r="U30"/>
  <c r="R18"/>
  <c r="U18"/>
  <c r="AI30"/>
  <c r="AH43"/>
  <c r="AI35"/>
  <c r="AI27"/>
  <c r="AH19"/>
  <c r="AH11"/>
  <c r="AI46"/>
  <c r="AH38"/>
  <c r="AH29"/>
  <c r="AI22"/>
  <c r="AI16"/>
  <c r="AI7"/>
  <c r="AI50"/>
  <c r="AH42"/>
  <c r="AH34"/>
  <c r="AI26"/>
  <c r="AI18"/>
  <c r="AH10"/>
  <c r="AI43"/>
  <c r="AI32"/>
  <c r="AI15"/>
  <c r="AI11"/>
  <c r="AI34"/>
  <c r="AI49"/>
  <c r="AI41"/>
  <c r="AH33"/>
  <c r="AI25"/>
  <c r="AH17"/>
  <c r="AH9"/>
  <c r="AH47"/>
  <c r="AH40"/>
  <c r="AI31"/>
  <c r="AH23"/>
  <c r="AI17"/>
  <c r="AI9"/>
  <c r="AI48"/>
  <c r="AI40"/>
  <c r="AH32"/>
  <c r="AI24"/>
  <c r="AH16"/>
  <c r="AH8"/>
  <c r="AH50"/>
  <c r="AH41"/>
  <c r="AH28"/>
  <c r="AI13"/>
  <c r="R60"/>
  <c r="U60"/>
  <c r="R48"/>
  <c r="U48"/>
  <c r="R36"/>
  <c r="U36"/>
  <c r="R24"/>
  <c r="U24"/>
  <c r="AC53" i="50"/>
  <c r="AB42"/>
  <c r="W30"/>
  <c r="AC41"/>
  <c r="AB30"/>
  <c r="Z30"/>
  <c r="AA30"/>
  <c r="L65"/>
  <c r="Z18"/>
  <c r="W24"/>
  <c r="AC29"/>
  <c r="AB18"/>
  <c r="P29"/>
  <c r="AA18"/>
  <c r="AC17"/>
  <c r="AB6"/>
  <c r="Y6"/>
  <c r="AA6"/>
  <c r="L11"/>
  <c r="N32"/>
  <c r="B32"/>
  <c r="N34"/>
  <c r="B34"/>
  <c r="N38"/>
  <c r="B38"/>
  <c r="N40"/>
  <c r="B40"/>
  <c r="N54"/>
  <c r="B54"/>
  <c r="N56"/>
  <c r="B56"/>
  <c r="N58"/>
  <c r="B58"/>
  <c r="N62"/>
  <c r="B62"/>
  <c r="N64"/>
  <c r="B64"/>
  <c r="N18"/>
  <c r="B18"/>
  <c r="N20"/>
  <c r="B20"/>
  <c r="N22"/>
  <c r="B22"/>
  <c r="N26"/>
  <c r="B26"/>
  <c r="N28"/>
  <c r="B28"/>
  <c r="N42"/>
  <c r="B42"/>
  <c r="N44"/>
  <c r="B44"/>
  <c r="N52"/>
  <c r="B52"/>
  <c r="N46"/>
  <c r="B46"/>
  <c r="N50"/>
  <c r="B50"/>
  <c r="N60"/>
  <c r="B60"/>
  <c r="N51"/>
  <c r="B51"/>
  <c r="N49"/>
  <c r="B49"/>
  <c r="N45"/>
  <c r="B45"/>
  <c r="N43"/>
  <c r="B43"/>
  <c r="N36"/>
  <c r="B36"/>
  <c r="N27"/>
  <c r="B27"/>
  <c r="N25"/>
  <c r="B25"/>
  <c r="N21"/>
  <c r="B21"/>
  <c r="N19"/>
  <c r="B19"/>
  <c r="N12"/>
  <c r="B12"/>
  <c r="N63"/>
  <c r="B63"/>
  <c r="N61"/>
  <c r="B61"/>
  <c r="N57"/>
  <c r="B57"/>
  <c r="N55"/>
  <c r="B55"/>
  <c r="N48"/>
  <c r="B48"/>
  <c r="N39"/>
  <c r="B39"/>
  <c r="N37"/>
  <c r="B37"/>
  <c r="N33"/>
  <c r="B33"/>
  <c r="N31"/>
  <c r="B31"/>
  <c r="N24"/>
  <c r="B24"/>
  <c r="N15"/>
  <c r="B15"/>
  <c r="N13"/>
  <c r="B13"/>
  <c r="N6"/>
  <c r="B6"/>
  <c r="N30"/>
  <c r="B30"/>
  <c r="N16"/>
  <c r="B16"/>
  <c r="N14"/>
  <c r="B14"/>
  <c r="R60"/>
  <c r="U60"/>
  <c r="R48"/>
  <c r="U48"/>
  <c r="R36"/>
  <c r="U36"/>
  <c r="R24"/>
  <c r="U24"/>
  <c r="R12"/>
  <c r="U12"/>
  <c r="R54"/>
  <c r="U54"/>
  <c r="R42"/>
  <c r="U42"/>
  <c r="R30"/>
  <c r="U30"/>
  <c r="R18"/>
  <c r="U18"/>
  <c r="R6"/>
  <c r="U6"/>
  <c r="O59" i="46"/>
  <c r="AC41"/>
  <c r="AB30"/>
  <c r="AA30"/>
  <c r="R60"/>
  <c r="U60"/>
  <c r="AH55"/>
  <c r="O29"/>
  <c r="W24"/>
  <c r="L65"/>
  <c r="Y6"/>
  <c r="AA6"/>
  <c r="T18"/>
  <c r="R54"/>
  <c r="U54"/>
  <c r="R36"/>
  <c r="U36"/>
  <c r="R30"/>
  <c r="U30"/>
  <c r="R18"/>
  <c r="U18"/>
  <c r="R12"/>
  <c r="U12"/>
  <c r="AI53"/>
  <c r="AI54"/>
  <c r="AH51"/>
  <c r="AI55"/>
  <c r="AH54"/>
  <c r="AI52"/>
  <c r="M6"/>
  <c r="W42" i="45"/>
  <c r="AC53"/>
  <c r="AB42"/>
  <c r="Z42"/>
  <c r="AA42"/>
  <c r="Z30"/>
  <c r="AA30"/>
  <c r="AH52"/>
  <c r="AI51"/>
  <c r="AI55"/>
  <c r="AH54"/>
  <c r="Z18"/>
  <c r="AA18"/>
  <c r="R48"/>
  <c r="U48"/>
  <c r="L65"/>
  <c r="N12"/>
  <c r="B12"/>
  <c r="N20"/>
  <c r="B20"/>
  <c r="N31"/>
  <c r="B31"/>
  <c r="N42"/>
  <c r="B42"/>
  <c r="N49"/>
  <c r="B49"/>
  <c r="N62"/>
  <c r="B62"/>
  <c r="N55"/>
  <c r="B55"/>
  <c r="N61"/>
  <c r="B61"/>
  <c r="N19"/>
  <c r="B19"/>
  <c r="N25"/>
  <c r="B25"/>
  <c r="N37"/>
  <c r="B37"/>
  <c r="N43"/>
  <c r="B43"/>
  <c r="N16"/>
  <c r="B16"/>
  <c r="N32"/>
  <c r="B32"/>
  <c r="N60"/>
  <c r="B60"/>
  <c r="N24"/>
  <c r="B24"/>
  <c r="N52"/>
  <c r="B52"/>
  <c r="N18"/>
  <c r="B18"/>
  <c r="N26"/>
  <c r="B26"/>
  <c r="N40"/>
  <c r="B40"/>
  <c r="N48"/>
  <c r="B48"/>
  <c r="N54"/>
  <c r="B54"/>
  <c r="N64"/>
  <c r="B64"/>
  <c r="N13"/>
  <c r="B13"/>
  <c r="N28"/>
  <c r="B28"/>
  <c r="N38"/>
  <c r="B38"/>
  <c r="N46"/>
  <c r="B46"/>
  <c r="N56"/>
  <c r="B56"/>
  <c r="N36"/>
  <c r="B36"/>
  <c r="N57"/>
  <c r="B57"/>
  <c r="N63"/>
  <c r="B63"/>
  <c r="N21"/>
  <c r="B21"/>
  <c r="N27"/>
  <c r="B27"/>
  <c r="N39"/>
  <c r="B39"/>
  <c r="N45"/>
  <c r="B45"/>
  <c r="N30"/>
  <c r="B30"/>
  <c r="N50"/>
  <c r="B50"/>
  <c r="N14"/>
  <c r="B14"/>
  <c r="N34"/>
  <c r="B34"/>
  <c r="N33"/>
  <c r="B33"/>
  <c r="N44"/>
  <c r="B44"/>
  <c r="N51"/>
  <c r="B51"/>
  <c r="N58"/>
  <c r="B58"/>
  <c r="N15"/>
  <c r="B15"/>
  <c r="N22"/>
  <c r="B22"/>
  <c r="AI6"/>
  <c r="R42"/>
  <c r="U42"/>
  <c r="R30"/>
  <c r="U30"/>
  <c r="R12"/>
  <c r="U12"/>
  <c r="R60"/>
  <c r="U60"/>
  <c r="R54"/>
  <c r="U54"/>
  <c r="R36"/>
  <c r="U36"/>
  <c r="R24"/>
  <c r="U24"/>
  <c r="R18"/>
  <c r="U18"/>
  <c r="AH38"/>
  <c r="AH33"/>
  <c r="AH15"/>
  <c r="AH40"/>
  <c r="AI37"/>
  <c r="AI50"/>
  <c r="AH25"/>
  <c r="AI40"/>
  <c r="AH16"/>
  <c r="AH45"/>
  <c r="AH41"/>
  <c r="Z6"/>
  <c r="AA6"/>
  <c r="AA54" i="54"/>
  <c r="AC17"/>
  <c r="AB6"/>
  <c r="Q17"/>
  <c r="W12"/>
  <c r="AH10"/>
  <c r="AI9"/>
  <c r="AI10"/>
  <c r="AH22"/>
  <c r="AI6"/>
  <c r="AH8"/>
  <c r="AH7"/>
  <c r="AI53"/>
  <c r="AI50"/>
  <c r="AI47"/>
  <c r="AI44"/>
  <c r="AH37"/>
  <c r="AI36"/>
  <c r="AH31"/>
  <c r="AI25"/>
  <c r="AI17"/>
  <c r="AI21"/>
  <c r="AI24"/>
  <c r="AH27"/>
  <c r="AH30"/>
  <c r="AI34"/>
  <c r="AH40"/>
  <c r="AI42"/>
  <c r="AI46"/>
  <c r="AI52"/>
  <c r="AH54"/>
  <c r="AH14"/>
  <c r="AI19"/>
  <c r="AH12"/>
  <c r="AI54"/>
  <c r="AI51"/>
  <c r="AH45"/>
  <c r="AH41"/>
  <c r="AI39"/>
  <c r="AH33"/>
  <c r="AH32"/>
  <c r="AH26"/>
  <c r="AI23"/>
  <c r="AH19"/>
  <c r="AI16"/>
  <c r="AH17"/>
  <c r="AH25"/>
  <c r="AH29"/>
  <c r="AI33"/>
  <c r="AH38"/>
  <c r="AH42"/>
  <c r="AI45"/>
  <c r="AI49"/>
  <c r="AH55"/>
  <c r="AH16"/>
  <c r="AI18"/>
  <c r="AI13"/>
  <c r="AH9"/>
  <c r="AI7"/>
  <c r="AH6"/>
  <c r="AI56"/>
  <c r="AI55"/>
  <c r="AH52"/>
  <c r="AH46"/>
  <c r="AH44"/>
  <c r="AI35"/>
  <c r="AI32"/>
  <c r="AH15"/>
  <c r="AH20"/>
  <c r="AI27"/>
  <c r="AI30"/>
  <c r="AI40"/>
  <c r="AI48"/>
  <c r="AH56"/>
  <c r="AH21"/>
  <c r="AH51"/>
  <c r="AH47"/>
  <c r="AI41"/>
  <c r="AI37"/>
  <c r="AI31"/>
  <c r="AI26"/>
  <c r="AH11"/>
  <c r="AI22"/>
  <c r="AI29"/>
  <c r="AI38"/>
  <c r="AI43"/>
  <c r="AH50"/>
  <c r="AI20"/>
  <c r="AI8"/>
  <c r="AH39"/>
  <c r="AI28"/>
  <c r="AI11"/>
  <c r="AH23"/>
  <c r="AH34"/>
  <c r="AH43"/>
  <c r="AH49"/>
  <c r="AI12"/>
  <c r="AI14"/>
  <c r="AH35"/>
  <c r="AH24"/>
  <c r="AI15"/>
  <c r="AH28"/>
  <c r="AH36"/>
  <c r="AH48"/>
  <c r="AH53"/>
  <c r="AH13"/>
  <c r="AH18"/>
  <c r="T18"/>
  <c r="AD18"/>
  <c r="T42"/>
  <c r="AD42"/>
  <c r="T30"/>
  <c r="AD30"/>
  <c r="T54"/>
  <c r="AD54"/>
  <c r="T6"/>
  <c r="AM8" i="55"/>
  <c r="AM12"/>
  <c r="AN9"/>
  <c r="AN15"/>
  <c r="AN10"/>
  <c r="AN8"/>
  <c r="AM7"/>
  <c r="AM13"/>
  <c r="AN13"/>
  <c r="AN11"/>
  <c r="AM11"/>
  <c r="AN12"/>
  <c r="AM16"/>
  <c r="AN14"/>
  <c r="AM10"/>
  <c r="AN16"/>
  <c r="AM14"/>
  <c r="AM15"/>
  <c r="AM9"/>
  <c r="AN7"/>
  <c r="AD18"/>
  <c r="AK18"/>
  <c r="AI34"/>
  <c r="AH13"/>
  <c r="AI28"/>
  <c r="AH12"/>
  <c r="AH33"/>
  <c r="AI20"/>
  <c r="AI36"/>
  <c r="AI11"/>
  <c r="AH16"/>
  <c r="AH26"/>
  <c r="AI47"/>
  <c r="AH31"/>
  <c r="AH15"/>
  <c r="AH49"/>
  <c r="AI33"/>
  <c r="AH18"/>
  <c r="AI38"/>
  <c r="AH22"/>
  <c r="AH48"/>
  <c r="AH24"/>
  <c r="AI17"/>
  <c r="AI29"/>
  <c r="AH40"/>
  <c r="AI30"/>
  <c r="AI25"/>
  <c r="AI44"/>
  <c r="AI14"/>
  <c r="AH20"/>
  <c r="AI40"/>
  <c r="AH8"/>
  <c r="AI8"/>
  <c r="AI35"/>
  <c r="AH19"/>
  <c r="AH38"/>
  <c r="AI22"/>
  <c r="AI7"/>
  <c r="AH42"/>
  <c r="AI26"/>
  <c r="AH10"/>
  <c r="AI43"/>
  <c r="AH28"/>
  <c r="AI10"/>
  <c r="AI32"/>
  <c r="AI45"/>
  <c r="AI15"/>
  <c r="AH45"/>
  <c r="AH47"/>
  <c r="AI37"/>
  <c r="AI9"/>
  <c r="AI49"/>
  <c r="AH17"/>
  <c r="AH36"/>
  <c r="AH32"/>
  <c r="AH50"/>
  <c r="AH6"/>
  <c r="AI39"/>
  <c r="AI23"/>
  <c r="AH7"/>
  <c r="AI42"/>
  <c r="AH25"/>
  <c r="AI12"/>
  <c r="AH46"/>
  <c r="AH30"/>
  <c r="AH14"/>
  <c r="AH39"/>
  <c r="AI13"/>
  <c r="AI31"/>
  <c r="AH23"/>
  <c r="AH21"/>
  <c r="AH44"/>
  <c r="AI41"/>
  <c r="AH9"/>
  <c r="AH27"/>
  <c r="AI48"/>
  <c r="AH37"/>
  <c r="AI24"/>
  <c r="AH41"/>
  <c r="AI21"/>
  <c r="AH43"/>
  <c r="AI27"/>
  <c r="AH11"/>
  <c r="AI46"/>
  <c r="AH29"/>
  <c r="AI16"/>
  <c r="AI50"/>
  <c r="AH34"/>
  <c r="AI18"/>
  <c r="AH35"/>
  <c r="AI19"/>
  <c r="AI6"/>
  <c r="AA42" i="53"/>
  <c r="W36"/>
  <c r="Z30"/>
  <c r="AA30"/>
  <c r="AC41"/>
  <c r="AB30"/>
  <c r="T42"/>
  <c r="AD42"/>
  <c r="T30"/>
  <c r="AD30"/>
  <c r="T54"/>
  <c r="AD54"/>
  <c r="T18"/>
  <c r="AI14"/>
  <c r="AI7"/>
  <c r="AI12"/>
  <c r="AI27"/>
  <c r="AI41"/>
  <c r="AH47"/>
  <c r="AI47"/>
  <c r="AI32"/>
  <c r="AH29"/>
  <c r="AI31"/>
  <c r="AH7"/>
  <c r="AH24"/>
  <c r="AH44"/>
  <c r="AH39"/>
  <c r="AI28"/>
  <c r="AH38"/>
  <c r="AI26"/>
  <c r="AI23"/>
  <c r="AI6"/>
  <c r="AI9"/>
  <c r="AH49"/>
  <c r="AH42"/>
  <c r="AI11"/>
  <c r="AH40"/>
  <c r="AI18"/>
  <c r="AH33"/>
  <c r="AH32"/>
  <c r="AI15"/>
  <c r="AH13"/>
  <c r="AH15"/>
  <c r="AH31"/>
  <c r="AH41"/>
  <c r="AI46"/>
  <c r="AI25"/>
  <c r="AH51"/>
  <c r="AI36"/>
  <c r="AI16"/>
  <c r="AI33"/>
  <c r="AI49"/>
  <c r="AH17"/>
  <c r="AH28"/>
  <c r="AH6"/>
  <c r="AH16"/>
  <c r="AI17"/>
  <c r="AI20"/>
  <c r="AH10"/>
  <c r="AI35"/>
  <c r="AI39"/>
  <c r="AI10"/>
  <c r="AH11"/>
  <c r="AH27"/>
  <c r="AH18"/>
  <c r="AI21"/>
  <c r="AI34"/>
  <c r="AI40"/>
  <c r="AH34"/>
  <c r="AI13"/>
  <c r="AH21"/>
  <c r="AI48"/>
  <c r="AH14"/>
  <c r="AH45"/>
  <c r="AI51"/>
  <c r="AH35"/>
  <c r="AI50"/>
  <c r="AH37"/>
  <c r="AH30"/>
  <c r="AH23"/>
  <c r="AI37"/>
  <c r="AI43"/>
  <c r="AH12"/>
  <c r="AI8"/>
  <c r="AI45"/>
  <c r="AI30"/>
  <c r="AH22"/>
  <c r="AI44"/>
  <c r="AH19"/>
  <c r="AH36"/>
  <c r="AI22"/>
  <c r="AH25"/>
  <c r="AI19"/>
  <c r="AH48"/>
  <c r="AH46"/>
  <c r="AI42"/>
  <c r="AH26"/>
  <c r="AH20"/>
  <c r="AH9"/>
  <c r="AH43"/>
  <c r="AI29"/>
  <c r="AI24"/>
  <c r="AH50"/>
  <c r="AH8"/>
  <c r="AI38"/>
  <c r="AK6"/>
  <c r="AA54" i="52"/>
  <c r="AK6"/>
  <c r="AM10"/>
  <c r="AH6"/>
  <c r="AI19"/>
  <c r="AH35"/>
  <c r="AI45"/>
  <c r="AH12"/>
  <c r="AH20"/>
  <c r="AI28"/>
  <c r="AI36"/>
  <c r="AH44"/>
  <c r="AI14"/>
  <c r="AI20"/>
  <c r="AH27"/>
  <c r="AH36"/>
  <c r="AI44"/>
  <c r="AH13"/>
  <c r="AH21"/>
  <c r="AI29"/>
  <c r="AI37"/>
  <c r="AH45"/>
  <c r="AH26"/>
  <c r="AI10"/>
  <c r="AH24"/>
  <c r="AH39"/>
  <c r="AH48"/>
  <c r="AI6"/>
  <c r="AH14"/>
  <c r="AH22"/>
  <c r="AH30"/>
  <c r="AI38"/>
  <c r="AH46"/>
  <c r="AI12"/>
  <c r="AH18"/>
  <c r="AH25"/>
  <c r="AI33"/>
  <c r="AI42"/>
  <c r="AH49"/>
  <c r="AH7"/>
  <c r="AH15"/>
  <c r="AI23"/>
  <c r="AH31"/>
  <c r="AI39"/>
  <c r="AI47"/>
  <c r="AH37"/>
  <c r="AI21"/>
  <c r="AD18"/>
  <c r="AK18"/>
  <c r="T54" i="50"/>
  <c r="AD54"/>
  <c r="T30"/>
  <c r="AD30"/>
  <c r="T42"/>
  <c r="AD42"/>
  <c r="T18"/>
  <c r="AH6"/>
  <c r="AI38"/>
  <c r="AI16"/>
  <c r="AI29"/>
  <c r="AH47"/>
  <c r="AI15"/>
  <c r="AI28"/>
  <c r="AI45"/>
  <c r="AI8"/>
  <c r="AI27"/>
  <c r="AI46"/>
  <c r="AI13"/>
  <c r="AH25"/>
  <c r="AH7"/>
  <c r="AI39"/>
  <c r="AI21"/>
  <c r="AH8"/>
  <c r="AI40"/>
  <c r="AH27"/>
  <c r="AH9"/>
  <c r="AH45"/>
  <c r="AI32"/>
  <c r="AH14"/>
  <c r="AI50"/>
  <c r="AH34"/>
  <c r="AI26"/>
  <c r="AI43"/>
  <c r="AI10"/>
  <c r="AH21"/>
  <c r="AH40"/>
  <c r="AH20"/>
  <c r="AH37"/>
  <c r="AI51"/>
  <c r="AH19"/>
  <c r="AI34"/>
  <c r="AI33"/>
  <c r="AH15"/>
  <c r="AI30"/>
  <c r="AI48"/>
  <c r="AH17"/>
  <c r="AH39"/>
  <c r="AH22"/>
  <c r="AI41"/>
  <c r="AI18"/>
  <c r="AH35"/>
  <c r="AI49"/>
  <c r="AH13"/>
  <c r="AI31"/>
  <c r="AH44"/>
  <c r="AH12"/>
  <c r="AH26"/>
  <c r="AH43"/>
  <c r="AH11"/>
  <c r="AH29"/>
  <c r="AI9"/>
  <c r="AI42"/>
  <c r="AI23"/>
  <c r="AH41"/>
  <c r="AI24"/>
  <c r="AI11"/>
  <c r="AI44"/>
  <c r="AI25"/>
  <c r="AI12"/>
  <c r="AH48"/>
  <c r="AH30"/>
  <c r="AI7"/>
  <c r="AH46"/>
  <c r="AH10"/>
  <c r="AH24"/>
  <c r="AI37"/>
  <c r="AH23"/>
  <c r="AI36"/>
  <c r="AI17"/>
  <c r="AI35"/>
  <c r="AI22"/>
  <c r="AH18"/>
  <c r="AH49"/>
  <c r="AH31"/>
  <c r="AI14"/>
  <c r="AH50"/>
  <c r="AH32"/>
  <c r="AI20"/>
  <c r="AH51"/>
  <c r="AH33"/>
  <c r="AI19"/>
  <c r="AI6"/>
  <c r="AH42"/>
  <c r="AH38"/>
  <c r="AI47"/>
  <c r="AH16"/>
  <c r="AH36"/>
  <c r="AH28"/>
  <c r="AK6"/>
  <c r="W54" i="46"/>
  <c r="Z54"/>
  <c r="AA54"/>
  <c r="AC65"/>
  <c r="AB54"/>
  <c r="Z18"/>
  <c r="AA18"/>
  <c r="AC29"/>
  <c r="AB18"/>
  <c r="AK6"/>
  <c r="AM16"/>
  <c r="AD18"/>
  <c r="N12"/>
  <c r="B12"/>
  <c r="N18"/>
  <c r="B18"/>
  <c r="N24"/>
  <c r="B24"/>
  <c r="N30"/>
  <c r="B30"/>
  <c r="N31"/>
  <c r="B31"/>
  <c r="N32"/>
  <c r="B32"/>
  <c r="N33"/>
  <c r="B33"/>
  <c r="N34"/>
  <c r="B34"/>
  <c r="N37"/>
  <c r="B37"/>
  <c r="N38"/>
  <c r="B38"/>
  <c r="N39"/>
  <c r="B39"/>
  <c r="N40"/>
  <c r="B40"/>
  <c r="N48"/>
  <c r="B48"/>
  <c r="N54"/>
  <c r="B54"/>
  <c r="N55"/>
  <c r="B55"/>
  <c r="N56"/>
  <c r="B56"/>
  <c r="N57"/>
  <c r="B57"/>
  <c r="N58"/>
  <c r="B58"/>
  <c r="N61"/>
  <c r="B61"/>
  <c r="N62"/>
  <c r="B62"/>
  <c r="N63"/>
  <c r="B63"/>
  <c r="N64"/>
  <c r="B64"/>
  <c r="N36"/>
  <c r="B36"/>
  <c r="N44"/>
  <c r="B44"/>
  <c r="N45"/>
  <c r="B45"/>
  <c r="N46"/>
  <c r="B46"/>
  <c r="N49"/>
  <c r="B49"/>
  <c r="N50"/>
  <c r="B50"/>
  <c r="N51"/>
  <c r="B51"/>
  <c r="N60"/>
  <c r="B60"/>
  <c r="N13"/>
  <c r="B13"/>
  <c r="N14"/>
  <c r="B14"/>
  <c r="N15"/>
  <c r="B15"/>
  <c r="N16"/>
  <c r="B16"/>
  <c r="N19"/>
  <c r="B19"/>
  <c r="N20"/>
  <c r="B20"/>
  <c r="N21"/>
  <c r="B21"/>
  <c r="N22"/>
  <c r="B22"/>
  <c r="N25"/>
  <c r="B25"/>
  <c r="N26"/>
  <c r="B26"/>
  <c r="N27"/>
  <c r="B27"/>
  <c r="N28"/>
  <c r="B28"/>
  <c r="N42"/>
  <c r="B42"/>
  <c r="N43"/>
  <c r="B43"/>
  <c r="N52"/>
  <c r="B52"/>
  <c r="AH17" i="45"/>
  <c r="AI25"/>
  <c r="AH10"/>
  <c r="AH26"/>
  <c r="AI19"/>
  <c r="AH9"/>
  <c r="AI9"/>
  <c r="AI7"/>
  <c r="AH28"/>
  <c r="AI30"/>
  <c r="AH13"/>
  <c r="AH29"/>
  <c r="AH21"/>
  <c r="AH34"/>
  <c r="AH20"/>
  <c r="AI35"/>
  <c r="AI13"/>
  <c r="AI24"/>
  <c r="AI39"/>
  <c r="AI18"/>
  <c r="AH31"/>
  <c r="AI48"/>
  <c r="AH30"/>
  <c r="AH36"/>
  <c r="AI22"/>
  <c r="AI26"/>
  <c r="AI31"/>
  <c r="AH18"/>
  <c r="AH22"/>
  <c r="AI14"/>
  <c r="AI16"/>
  <c r="AH12"/>
  <c r="AI17"/>
  <c r="AI33"/>
  <c r="AI28"/>
  <c r="AI32"/>
  <c r="AI45"/>
  <c r="AI11"/>
  <c r="AI34"/>
  <c r="AH47"/>
  <c r="AH42"/>
  <c r="AH37"/>
  <c r="AH7"/>
  <c r="AH46"/>
  <c r="AI10"/>
  <c r="AI44"/>
  <c r="AH43"/>
  <c r="AI23"/>
  <c r="AH8"/>
  <c r="AH19"/>
  <c r="AH50"/>
  <c r="AH32"/>
  <c r="AH48"/>
  <c r="AH44"/>
  <c r="AH49"/>
  <c r="T18"/>
  <c r="T54"/>
  <c r="AD54"/>
  <c r="T42"/>
  <c r="AD42"/>
  <c r="T30"/>
  <c r="AD30"/>
  <c r="AK6"/>
  <c r="AI27"/>
  <c r="AH35"/>
  <c r="AI15"/>
  <c r="AI49"/>
  <c r="AH14"/>
  <c r="AI20"/>
  <c r="AI12"/>
  <c r="AI46"/>
  <c r="AI36"/>
  <c r="AH27"/>
  <c r="AH23"/>
  <c r="AH6"/>
  <c r="AI21"/>
  <c r="AI42"/>
  <c r="AH24"/>
  <c r="AI8"/>
  <c r="AI41"/>
  <c r="AI38"/>
  <c r="AI43"/>
  <c r="AH39"/>
  <c r="AI47"/>
  <c r="AH11"/>
  <c r="AI29"/>
  <c r="R12" i="54"/>
  <c r="U12"/>
  <c r="R66"/>
  <c r="U66"/>
  <c r="R42"/>
  <c r="U42"/>
  <c r="R48"/>
  <c r="U48"/>
  <c r="R24"/>
  <c r="U24"/>
  <c r="R30"/>
  <c r="U30"/>
  <c r="R54"/>
  <c r="U54"/>
  <c r="R18"/>
  <c r="U18"/>
  <c r="R36"/>
  <c r="U36"/>
  <c r="R60"/>
  <c r="U60"/>
  <c r="AD6"/>
  <c r="AK19"/>
  <c r="AN23" i="55"/>
  <c r="AN19"/>
  <c r="AN21"/>
  <c r="AN20"/>
  <c r="AN22"/>
  <c r="AM23"/>
  <c r="AM22"/>
  <c r="AM21"/>
  <c r="AM20"/>
  <c r="AM19"/>
  <c r="AD18" i="53"/>
  <c r="AK18"/>
  <c r="AM11"/>
  <c r="AM16"/>
  <c r="AM9"/>
  <c r="AN8"/>
  <c r="AM7"/>
  <c r="AN15"/>
  <c r="AM10"/>
  <c r="AN7"/>
  <c r="AN13"/>
  <c r="AM15"/>
  <c r="AN11"/>
  <c r="AM14"/>
  <c r="AM12"/>
  <c r="AM8"/>
  <c r="AN14"/>
  <c r="AN10"/>
  <c r="AN16"/>
  <c r="AN9"/>
  <c r="AN12"/>
  <c r="AM13"/>
  <c r="AN7" i="52"/>
  <c r="AM7"/>
  <c r="AM12"/>
  <c r="AM8"/>
  <c r="AN10"/>
  <c r="AM16"/>
  <c r="AN12"/>
  <c r="AN9"/>
  <c r="AN11"/>
  <c r="AM13"/>
  <c r="AN14"/>
  <c r="AN16"/>
  <c r="AN13"/>
  <c r="AN8"/>
  <c r="AN15"/>
  <c r="AM15"/>
  <c r="AM9"/>
  <c r="AM11"/>
  <c r="AM14"/>
  <c r="AM20"/>
  <c r="AN21"/>
  <c r="AN22"/>
  <c r="AN20"/>
  <c r="AM23"/>
  <c r="AM22"/>
  <c r="AM21"/>
  <c r="AM19"/>
  <c r="AN19"/>
  <c r="AN23"/>
  <c r="AD18" i="50"/>
  <c r="AK18"/>
  <c r="AM15"/>
  <c r="AN10"/>
  <c r="AM16"/>
  <c r="AM7"/>
  <c r="AM9"/>
  <c r="AN7"/>
  <c r="AM13"/>
  <c r="AM12"/>
  <c r="AN13"/>
  <c r="AN16"/>
  <c r="AN15"/>
  <c r="AM11"/>
  <c r="AM10"/>
  <c r="AM8"/>
  <c r="AN12"/>
  <c r="AN9"/>
  <c r="AN14"/>
  <c r="AN11"/>
  <c r="AN8"/>
  <c r="AM14"/>
  <c r="AN15" i="46"/>
  <c r="AM10"/>
  <c r="AM13"/>
  <c r="AM12"/>
  <c r="AM8"/>
  <c r="T30"/>
  <c r="T54"/>
  <c r="AD54"/>
  <c r="T42"/>
  <c r="AD42"/>
  <c r="AM9"/>
  <c r="AN10"/>
  <c r="AM14"/>
  <c r="AN12"/>
  <c r="AN14"/>
  <c r="AM11"/>
  <c r="AN8"/>
  <c r="AM7"/>
  <c r="AN11"/>
  <c r="AN9"/>
  <c r="AN16"/>
  <c r="AN13"/>
  <c r="AM15"/>
  <c r="AN7"/>
  <c r="AH15"/>
  <c r="AI50"/>
  <c r="AH6"/>
  <c r="AH40"/>
  <c r="AH20"/>
  <c r="AI12"/>
  <c r="AI46"/>
  <c r="AH30"/>
  <c r="AI16"/>
  <c r="AH36"/>
  <c r="AH16"/>
  <c r="AI42"/>
  <c r="AI26"/>
  <c r="AI11"/>
  <c r="AH47"/>
  <c r="AI28"/>
  <c r="AI14"/>
  <c r="AH38"/>
  <c r="AH22"/>
  <c r="AI7"/>
  <c r="AI44"/>
  <c r="AI24"/>
  <c r="AI9"/>
  <c r="AH35"/>
  <c r="AH31"/>
  <c r="AI15"/>
  <c r="AI19"/>
  <c r="AH9"/>
  <c r="AI36"/>
  <c r="AI21"/>
  <c r="AH11"/>
  <c r="AH46"/>
  <c r="AI32"/>
  <c r="AH21"/>
  <c r="AH32"/>
  <c r="AI17"/>
  <c r="AH7"/>
  <c r="AH42"/>
  <c r="AH28"/>
  <c r="AH17"/>
  <c r="AH44"/>
  <c r="AI30"/>
  <c r="AI38"/>
  <c r="AH24"/>
  <c r="AH13"/>
  <c r="AI40"/>
  <c r="AH26"/>
  <c r="AH27"/>
  <c r="AI6"/>
  <c r="AI35"/>
  <c r="AI31"/>
  <c r="AH10"/>
  <c r="AI39"/>
  <c r="AI20"/>
  <c r="AH14"/>
  <c r="AH43"/>
  <c r="AH34"/>
  <c r="AI45"/>
  <c r="AI10"/>
  <c r="AI34"/>
  <c r="AI8"/>
  <c r="AI25"/>
  <c r="AH8"/>
  <c r="AH45"/>
  <c r="AI22"/>
  <c r="AH12"/>
  <c r="AI49"/>
  <c r="AH25"/>
  <c r="AH50"/>
  <c r="AH29"/>
  <c r="AI41"/>
  <c r="AH49"/>
  <c r="AH18"/>
  <c r="AH39"/>
  <c r="AH19"/>
  <c r="AI13"/>
  <c r="AI43"/>
  <c r="AI23"/>
  <c r="AI48"/>
  <c r="AH48"/>
  <c r="AI27"/>
  <c r="AI18"/>
  <c r="AI47"/>
  <c r="AH23"/>
  <c r="AH41"/>
  <c r="AI29"/>
  <c r="AH33"/>
  <c r="AI37"/>
  <c r="AH37"/>
  <c r="AI33"/>
  <c r="AM16" i="45"/>
  <c r="AM13"/>
  <c r="AN10"/>
  <c r="AN14"/>
  <c r="AN16"/>
  <c r="AN11"/>
  <c r="AN13"/>
  <c r="AN12"/>
  <c r="AN9"/>
  <c r="AN8"/>
  <c r="AM12"/>
  <c r="AM11"/>
  <c r="AM7"/>
  <c r="AM15"/>
  <c r="AN7"/>
  <c r="AM9"/>
  <c r="AM10"/>
  <c r="AM8"/>
  <c r="AN15"/>
  <c r="AM14"/>
  <c r="AD18"/>
  <c r="AK18"/>
  <c r="AK6" i="54"/>
  <c r="AN20"/>
  <c r="AN23"/>
  <c r="AN22"/>
  <c r="AN24"/>
  <c r="AM24"/>
  <c r="AM23"/>
  <c r="AM22"/>
  <c r="AM21"/>
  <c r="AM20"/>
  <c r="AN21"/>
  <c r="AM23" i="53"/>
  <c r="AN19"/>
  <c r="AN20"/>
  <c r="AN22"/>
  <c r="AN23"/>
  <c r="AN21"/>
  <c r="AM22"/>
  <c r="AM19"/>
  <c r="AM21"/>
  <c r="AM20"/>
  <c r="AM23" i="50"/>
  <c r="AN22"/>
  <c r="AN21"/>
  <c r="AN23"/>
  <c r="AM19"/>
  <c r="AM21"/>
  <c r="AN19"/>
  <c r="AN20"/>
  <c r="AM20"/>
  <c r="AM22"/>
  <c r="AD30" i="46"/>
  <c r="AK18"/>
  <c r="AM23" i="45"/>
  <c r="AN23"/>
  <c r="AN21"/>
  <c r="AN19"/>
  <c r="AM22"/>
  <c r="AM21"/>
  <c r="AM20"/>
  <c r="AM19"/>
  <c r="AN20"/>
  <c r="AN22"/>
  <c r="AN11" i="54"/>
  <c r="AM15"/>
  <c r="AN13"/>
  <c r="AN10"/>
  <c r="AN7"/>
  <c r="AM8"/>
  <c r="AM16"/>
  <c r="AM9"/>
  <c r="AN8"/>
  <c r="AM17"/>
  <c r="AN15"/>
  <c r="AM7"/>
  <c r="AN14"/>
  <c r="AM14"/>
  <c r="AN16"/>
  <c r="AM10"/>
  <c r="AN17"/>
  <c r="AN9"/>
  <c r="AM11"/>
  <c r="AN12"/>
  <c r="AM13"/>
  <c r="AM12"/>
  <c r="AM23" i="46"/>
  <c r="AM21"/>
  <c r="AM19"/>
  <c r="AN23"/>
  <c r="AN22"/>
  <c r="AM22"/>
  <c r="AM20"/>
  <c r="AN21"/>
  <c r="AN20"/>
  <c r="AN19"/>
  <c r="M67" i="56"/>
  <c r="W54"/>
  <c r="W18"/>
  <c r="O11"/>
  <c r="Q11"/>
  <c r="P17"/>
  <c r="P23"/>
  <c r="P35"/>
  <c r="P47"/>
  <c r="P59"/>
  <c r="O65"/>
  <c r="Q65"/>
  <c r="O71"/>
  <c r="W66"/>
  <c r="Y6"/>
  <c r="L11"/>
  <c r="Y18"/>
  <c r="W60"/>
  <c r="W6"/>
  <c r="AC17"/>
  <c r="AB6"/>
  <c r="Z6"/>
  <c r="AA6"/>
  <c r="Z54"/>
  <c r="AC65"/>
  <c r="AB54"/>
  <c r="N67"/>
  <c r="B67"/>
  <c r="N69"/>
  <c r="B69"/>
  <c r="N70"/>
  <c r="B70"/>
  <c r="Q71"/>
  <c r="R66"/>
  <c r="U66"/>
  <c r="R60"/>
  <c r="U60"/>
  <c r="N60"/>
  <c r="B60"/>
  <c r="N61"/>
  <c r="B61"/>
  <c r="N64"/>
  <c r="B64"/>
  <c r="N62"/>
  <c r="B62"/>
  <c r="N63"/>
  <c r="B63"/>
  <c r="N55"/>
  <c r="B55"/>
  <c r="R54"/>
  <c r="U54"/>
  <c r="N54"/>
  <c r="B54"/>
  <c r="N57"/>
  <c r="B57"/>
  <c r="N58"/>
  <c r="B58"/>
  <c r="N56"/>
  <c r="B56"/>
  <c r="N48"/>
  <c r="B48"/>
  <c r="N49"/>
  <c r="B49"/>
  <c r="N50"/>
  <c r="B50"/>
  <c r="Q53"/>
  <c r="R48"/>
  <c r="U48"/>
  <c r="W48"/>
  <c r="N51"/>
  <c r="B51"/>
  <c r="N52"/>
  <c r="B52"/>
  <c r="N44"/>
  <c r="B44"/>
  <c r="Q47"/>
  <c r="R42"/>
  <c r="U42"/>
  <c r="AC53"/>
  <c r="AB42"/>
  <c r="Z42"/>
  <c r="AA42"/>
  <c r="T42"/>
  <c r="AD42"/>
  <c r="W42"/>
  <c r="N45"/>
  <c r="B45"/>
  <c r="N42"/>
  <c r="B42"/>
  <c r="N43"/>
  <c r="B43"/>
  <c r="N46"/>
  <c r="B46"/>
  <c r="N39"/>
  <c r="B39"/>
  <c r="Q41"/>
  <c r="W36"/>
  <c r="N40"/>
  <c r="B40"/>
  <c r="N36"/>
  <c r="B36"/>
  <c r="N37"/>
  <c r="B37"/>
  <c r="N38"/>
  <c r="B38"/>
  <c r="N30"/>
  <c r="B30"/>
  <c r="N31"/>
  <c r="B31"/>
  <c r="N34"/>
  <c r="B34"/>
  <c r="L71"/>
  <c r="N32"/>
  <c r="B32"/>
  <c r="Q35"/>
  <c r="R30"/>
  <c r="U30"/>
  <c r="AC41"/>
  <c r="AB30"/>
  <c r="Z30"/>
  <c r="AA30"/>
  <c r="T30"/>
  <c r="AD30"/>
  <c r="W30"/>
  <c r="N33"/>
  <c r="B33"/>
  <c r="N24"/>
  <c r="B24"/>
  <c r="N25"/>
  <c r="B25"/>
  <c r="N28"/>
  <c r="B28"/>
  <c r="W24"/>
  <c r="AC29"/>
  <c r="AB18"/>
  <c r="Z18"/>
  <c r="AA18"/>
  <c r="T18"/>
  <c r="AD18"/>
  <c r="N26"/>
  <c r="B26"/>
  <c r="N27"/>
  <c r="B27"/>
  <c r="N19"/>
  <c r="B19"/>
  <c r="P29"/>
  <c r="Q29"/>
  <c r="N20"/>
  <c r="B20"/>
  <c r="N18"/>
  <c r="B18"/>
  <c r="N21"/>
  <c r="B21"/>
  <c r="N22"/>
  <c r="B22"/>
  <c r="N12"/>
  <c r="B12"/>
  <c r="N13"/>
  <c r="B13"/>
  <c r="N16"/>
  <c r="B16"/>
  <c r="T6"/>
  <c r="AK19"/>
  <c r="N14"/>
  <c r="B14"/>
  <c r="N15"/>
  <c r="B15"/>
  <c r="N6"/>
  <c r="B6"/>
  <c r="AI57"/>
  <c r="W12"/>
  <c r="N8"/>
  <c r="B8"/>
  <c r="N9"/>
  <c r="B9"/>
  <c r="N7"/>
  <c r="B7"/>
  <c r="N10"/>
  <c r="B10"/>
  <c r="AH58"/>
  <c r="AI55"/>
  <c r="AI56"/>
  <c r="AH57"/>
  <c r="AI60"/>
  <c r="AI58"/>
  <c r="AH56"/>
  <c r="AI59"/>
  <c r="AH59"/>
  <c r="AH60"/>
  <c r="AH54"/>
  <c r="AH51"/>
  <c r="AH47"/>
  <c r="AI53"/>
  <c r="AI54"/>
  <c r="AI51"/>
  <c r="AH55"/>
  <c r="AH52"/>
  <c r="AI52"/>
  <c r="AH53"/>
  <c r="AI50"/>
  <c r="AI43"/>
  <c r="AH46"/>
  <c r="AI47"/>
  <c r="AI46"/>
  <c r="AH50"/>
  <c r="AI49"/>
  <c r="AH48"/>
  <c r="AI48"/>
  <c r="AH49"/>
  <c r="AH43"/>
  <c r="AH42"/>
  <c r="AI42"/>
  <c r="AH44"/>
  <c r="AI44"/>
  <c r="AH39"/>
  <c r="AI41"/>
  <c r="AH45"/>
  <c r="AH41"/>
  <c r="AI45"/>
  <c r="AI38"/>
  <c r="AH36"/>
  <c r="AH40"/>
  <c r="AI36"/>
  <c r="AI40"/>
  <c r="AH38"/>
  <c r="AI39"/>
  <c r="AI37"/>
  <c r="AH37"/>
  <c r="R36"/>
  <c r="U36"/>
  <c r="AH31"/>
  <c r="AH33"/>
  <c r="AI32"/>
  <c r="AI34"/>
  <c r="AD6"/>
  <c r="AH32"/>
  <c r="AI35"/>
  <c r="AI33"/>
  <c r="AH34"/>
  <c r="AI31"/>
  <c r="AH35"/>
  <c r="AI27"/>
  <c r="AI29"/>
  <c r="AH27"/>
  <c r="AH29"/>
  <c r="AI26"/>
  <c r="AI28"/>
  <c r="AH30"/>
  <c r="AH26"/>
  <c r="AH28"/>
  <c r="AI30"/>
  <c r="R24"/>
  <c r="U24"/>
  <c r="R18"/>
  <c r="U18"/>
  <c r="R12"/>
  <c r="U12"/>
  <c r="R6"/>
  <c r="U6"/>
  <c r="AH21"/>
  <c r="AI24"/>
  <c r="AI21"/>
  <c r="AH23"/>
  <c r="AH25"/>
  <c r="AH22"/>
  <c r="AI23"/>
  <c r="AI25"/>
  <c r="AI22"/>
  <c r="AH24"/>
  <c r="AH10"/>
  <c r="AI18"/>
  <c r="AH20"/>
  <c r="AI16"/>
  <c r="AH19"/>
  <c r="AH16"/>
  <c r="AH17"/>
  <c r="AI19"/>
  <c r="AI17"/>
  <c r="AH18"/>
  <c r="AI20"/>
  <c r="AH12"/>
  <c r="AH14"/>
  <c r="AI12"/>
  <c r="AI14"/>
  <c r="AH11"/>
  <c r="AH13"/>
  <c r="AH15"/>
  <c r="AI11"/>
  <c r="AI13"/>
  <c r="AI15"/>
  <c r="AH7"/>
  <c r="AI10"/>
  <c r="AM23"/>
  <c r="AN21"/>
  <c r="AN24"/>
  <c r="AM22"/>
  <c r="AM20"/>
  <c r="AM24"/>
  <c r="AN22"/>
  <c r="AN20"/>
  <c r="AN23"/>
  <c r="AM21"/>
  <c r="AH6"/>
  <c r="AH8"/>
  <c r="AI9"/>
  <c r="AH9"/>
  <c r="AI8"/>
  <c r="AI6"/>
  <c r="AI7"/>
  <c r="AK6"/>
  <c r="AN17"/>
  <c r="AN9"/>
  <c r="AM12"/>
  <c r="AN14"/>
  <c r="AM17"/>
  <c r="AM9"/>
  <c r="AN11"/>
  <c r="AM14"/>
  <c r="AN16"/>
  <c r="AN8"/>
  <c r="AM11"/>
  <c r="AN13"/>
  <c r="AM16"/>
  <c r="AM8"/>
  <c r="AN10"/>
  <c r="AM13"/>
  <c r="AN15"/>
  <c r="AN7"/>
  <c r="AM10"/>
  <c r="AN12"/>
  <c r="AM15"/>
  <c r="AM7"/>
  <c r="K5" i="11"/>
  <c r="L5"/>
  <c r="AS14" i="12"/>
  <c r="AS50"/>
  <c r="AS54"/>
  <c r="AS79"/>
  <c r="AS81"/>
  <c r="AU81"/>
  <c r="AS76"/>
  <c r="AU76"/>
  <c r="AS80"/>
  <c r="AU80"/>
  <c r="AS84"/>
  <c r="AS102"/>
  <c r="AS86"/>
  <c r="AU86"/>
  <c r="AS111"/>
  <c r="AU111"/>
  <c r="J74" i="11"/>
  <c r="AS68" i="12"/>
  <c r="J25" i="11"/>
  <c r="L25"/>
  <c r="AU84" i="12"/>
  <c r="AT48"/>
  <c r="J86" i="11"/>
  <c r="L86"/>
  <c r="AU101" i="12"/>
  <c r="AS61"/>
  <c r="AS63"/>
  <c r="AU79"/>
  <c r="AS45"/>
  <c r="AU45"/>
  <c r="AS60"/>
  <c r="AU58"/>
  <c r="AS103"/>
  <c r="AS56"/>
  <c r="AU56"/>
  <c r="AU64"/>
  <c r="AU27"/>
  <c r="AS24"/>
  <c r="AU24"/>
  <c r="AS35"/>
  <c r="AU35"/>
  <c r="AS107"/>
  <c r="AU107"/>
  <c r="AS100"/>
  <c r="AS57"/>
  <c r="AU57"/>
  <c r="AS13"/>
  <c r="AU13"/>
  <c r="AU118"/>
  <c r="AS88"/>
  <c r="AU88"/>
  <c r="AS109"/>
  <c r="D71" i="11"/>
  <c r="AS37" i="12"/>
  <c r="AU37"/>
  <c r="AS77"/>
  <c r="AS6"/>
  <c r="AU113"/>
  <c r="AS59"/>
  <c r="AS26"/>
  <c r="AU26"/>
  <c r="AS28"/>
  <c r="AS55"/>
  <c r="AS82"/>
  <c r="AU67"/>
  <c r="AS41"/>
  <c r="C98" i="11"/>
  <c r="AS70" i="12"/>
  <c r="AU70"/>
  <c r="C78" i="11"/>
  <c r="D70"/>
  <c r="J70"/>
  <c r="L70" s="1"/>
  <c r="AS18" i="12"/>
  <c r="AS64"/>
  <c r="AS71"/>
  <c r="AU71"/>
  <c r="AS94"/>
  <c r="AU116"/>
  <c r="J82" i="11"/>
  <c r="L82" s="1"/>
  <c r="C45"/>
  <c r="J45" s="1"/>
  <c r="L45" s="1"/>
  <c r="AS43" i="12"/>
  <c r="AU43"/>
  <c r="AS42"/>
  <c r="AS10"/>
  <c r="AU115"/>
  <c r="AU63"/>
  <c r="AS16"/>
  <c r="AU46"/>
  <c r="AU103"/>
  <c r="AU60"/>
  <c r="AS58"/>
  <c r="AS108"/>
  <c r="AU108"/>
  <c r="AS101"/>
  <c r="AS34"/>
  <c r="AU34"/>
  <c r="AS105"/>
  <c r="AU100"/>
  <c r="AS117"/>
  <c r="AS118"/>
  <c r="AS51"/>
  <c r="AS33"/>
  <c r="AU33"/>
  <c r="AS29"/>
  <c r="K83" i="11"/>
  <c r="AS85" i="12"/>
  <c r="AS112"/>
  <c r="D4" i="11"/>
  <c r="J4" s="1"/>
  <c r="AS46" i="12"/>
  <c r="AU28"/>
  <c r="AS92"/>
  <c r="AU55"/>
  <c r="AS65"/>
  <c r="AS66"/>
  <c r="AU66"/>
  <c r="AS23"/>
  <c r="AS114"/>
  <c r="AS99"/>
  <c r="AU99"/>
  <c r="J84" i="11"/>
  <c r="L84"/>
  <c r="AS104" i="12"/>
  <c r="AS120"/>
  <c r="AU120"/>
  <c r="O5" i="11"/>
  <c r="P5" s="1"/>
  <c r="J16"/>
  <c r="L16" s="1"/>
  <c r="J63"/>
  <c r="L63" s="1"/>
  <c r="J91"/>
  <c r="L91" s="1"/>
  <c r="AS3" i="12"/>
  <c r="J13" i="11"/>
  <c r="L13"/>
  <c r="AS95" i="12"/>
  <c r="AU95"/>
  <c r="AS67"/>
  <c r="J65" i="11"/>
  <c r="L65" s="1"/>
  <c r="J83"/>
  <c r="J89"/>
  <c r="L89"/>
  <c r="J87"/>
  <c r="L87"/>
  <c r="J69"/>
  <c r="L69"/>
  <c r="J66"/>
  <c r="L66"/>
  <c r="AS91" i="12"/>
  <c r="AU91"/>
  <c r="J3" i="11"/>
  <c r="AS2" i="12"/>
  <c r="AU12"/>
  <c r="J62" i="11"/>
  <c r="L62" s="1"/>
  <c r="AS5" i="12"/>
  <c r="AS25"/>
  <c r="AU93"/>
  <c r="J6" i="11"/>
  <c r="AU50" i="12"/>
  <c r="J68" i="11"/>
  <c r="J30"/>
  <c r="J43"/>
  <c r="L43"/>
  <c r="J90"/>
  <c r="L90"/>
  <c r="J88"/>
  <c r="L88"/>
  <c r="J85"/>
  <c r="L85"/>
  <c r="J2"/>
  <c r="J71"/>
  <c r="L71" s="1"/>
  <c r="J9"/>
  <c r="L9" s="1"/>
  <c r="J31"/>
  <c r="L31" s="1"/>
  <c r="J46"/>
  <c r="L46" s="1"/>
  <c r="J75"/>
  <c r="L75" s="1"/>
  <c r="J5"/>
  <c r="J64"/>
  <c r="L64"/>
  <c r="J34"/>
  <c r="L34"/>
  <c r="J12"/>
  <c r="L12"/>
  <c r="J7"/>
  <c r="L7"/>
  <c r="J67"/>
  <c r="L67"/>
  <c r="L68"/>
  <c r="L74"/>
  <c r="AT97" i="12"/>
  <c r="AU78"/>
  <c r="J76" i="11"/>
  <c r="L76"/>
  <c r="AU94" i="12"/>
  <c r="AU83"/>
  <c r="J73" i="11"/>
  <c r="L73"/>
  <c r="AU77" i="12"/>
  <c r="J15" i="11"/>
  <c r="L15" s="1"/>
  <c r="J26"/>
  <c r="L26" s="1"/>
  <c r="J33"/>
  <c r="L33" s="1"/>
  <c r="J32"/>
  <c r="L32" s="1"/>
  <c r="J14"/>
  <c r="L14" s="1"/>
  <c r="J48"/>
  <c r="L48" s="1"/>
  <c r="J40"/>
  <c r="L40" s="1"/>
  <c r="J39"/>
  <c r="L39" s="1"/>
  <c r="J8"/>
  <c r="L8" s="1"/>
  <c r="J11"/>
  <c r="L11" s="1"/>
  <c r="J28"/>
  <c r="L28" s="1"/>
  <c r="J42"/>
  <c r="L42" s="1"/>
  <c r="J41"/>
  <c r="L41" s="1"/>
  <c r="J47"/>
  <c r="L47" s="1"/>
  <c r="J29"/>
  <c r="L29" s="1"/>
  <c r="L30"/>
  <c r="J44"/>
  <c r="L44"/>
  <c r="J27"/>
  <c r="L27"/>
  <c r="J10"/>
  <c r="L10"/>
  <c r="AT74" i="12"/>
  <c r="AS69"/>
  <c r="AU69"/>
  <c r="AS52"/>
  <c r="AU52"/>
  <c r="AS44"/>
  <c r="AU44"/>
  <c r="AS31"/>
  <c r="AU10"/>
  <c r="AT31"/>
  <c r="AU31"/>
  <c r="O4" i="11"/>
  <c r="P4" s="1"/>
  <c r="L83"/>
  <c r="AS97" i="12"/>
  <c r="AU104"/>
  <c r="AS74"/>
  <c r="AU74"/>
  <c r="O6" i="11"/>
  <c r="P6"/>
  <c r="AS8" i="12"/>
  <c r="AU97"/>
  <c r="O3" i="11"/>
  <c r="P3"/>
  <c r="AS48" i="12"/>
  <c r="AU48"/>
  <c r="O2" i="11"/>
  <c r="P2"/>
  <c r="AE54" i="1"/>
  <c r="AD54"/>
  <c r="AE58"/>
  <c r="AD58"/>
  <c r="AB25"/>
  <c r="AB31"/>
  <c r="AB57"/>
  <c r="AC57"/>
  <c r="AB85"/>
  <c r="AC85"/>
  <c r="AB81"/>
  <c r="AC81"/>
  <c r="AE53"/>
  <c r="AD53"/>
  <c r="AE47"/>
  <c r="AD47"/>
  <c r="AE7"/>
  <c r="AD7"/>
  <c r="AE52"/>
  <c r="AD52"/>
  <c r="AB22"/>
  <c r="AB10"/>
  <c r="AB67"/>
  <c r="AC67"/>
  <c r="AB27"/>
  <c r="AB45"/>
  <c r="AB29"/>
  <c r="AB56"/>
  <c r="AC56"/>
  <c r="AB49"/>
  <c r="AB36"/>
  <c r="AB12"/>
  <c r="AB26"/>
  <c r="AB55"/>
  <c r="AC55"/>
  <c r="AB16"/>
  <c r="AB39"/>
  <c r="AB37"/>
  <c r="AC37"/>
  <c r="AB72"/>
  <c r="AC72"/>
  <c r="AB66"/>
  <c r="AC66"/>
  <c r="AB53"/>
  <c r="AB74"/>
  <c r="AC74"/>
  <c r="AB32"/>
  <c r="AB35"/>
  <c r="AC35"/>
  <c r="AB58"/>
  <c r="AC58"/>
  <c r="AB79"/>
  <c r="AC79"/>
  <c r="AB63"/>
  <c r="AC63"/>
  <c r="AB62"/>
  <c r="AC62"/>
  <c r="AB71"/>
  <c r="AC71"/>
  <c r="AB76"/>
  <c r="AC76"/>
  <c r="AB13"/>
  <c r="AE23"/>
  <c r="AD23"/>
  <c r="AE13"/>
  <c r="AD13"/>
  <c r="AD17"/>
  <c r="AE31"/>
  <c r="AD31"/>
  <c r="AE45"/>
  <c r="AD45"/>
  <c r="AC45"/>
  <c r="AE5"/>
  <c r="AD5"/>
  <c r="AE9"/>
  <c r="AD9"/>
  <c r="AE33"/>
  <c r="AD33"/>
  <c r="AE25"/>
  <c r="AD25"/>
  <c r="AC25"/>
  <c r="AE18"/>
  <c r="AD18"/>
  <c r="AE49"/>
  <c r="AD49"/>
  <c r="AC49"/>
  <c r="AE30"/>
  <c r="AD30"/>
  <c r="AE55"/>
  <c r="AD55"/>
  <c r="AE21"/>
  <c r="AD21"/>
  <c r="AE56"/>
  <c r="AD56"/>
  <c r="AE32"/>
  <c r="AD32"/>
  <c r="AE20"/>
  <c r="AD20"/>
  <c r="AE26"/>
  <c r="AD26"/>
  <c r="AE12"/>
  <c r="AD12"/>
  <c r="AE14"/>
  <c r="AD14"/>
  <c r="AB82"/>
  <c r="AC82"/>
  <c r="AB30"/>
  <c r="AB52"/>
  <c r="AC26"/>
  <c r="AB69"/>
  <c r="AC69"/>
  <c r="AB24"/>
  <c r="AB80"/>
  <c r="AC80"/>
  <c r="AB51"/>
  <c r="AB42"/>
  <c r="AB21"/>
  <c r="AB59"/>
  <c r="AC59"/>
  <c r="AB75"/>
  <c r="AC75"/>
  <c r="AB5"/>
  <c r="AC5"/>
  <c r="AB64"/>
  <c r="AC64"/>
  <c r="AB20"/>
  <c r="AB40"/>
  <c r="AB50"/>
  <c r="AB60"/>
  <c r="AC60"/>
  <c r="AB8"/>
  <c r="AB33"/>
  <c r="AB28"/>
  <c r="AB46"/>
  <c r="AC46"/>
  <c r="AB6"/>
  <c r="AB48"/>
  <c r="AB23"/>
  <c r="AC23"/>
  <c r="AB92"/>
  <c r="AB34"/>
  <c r="AB14"/>
  <c r="AC12"/>
  <c r="AB73"/>
  <c r="AC73"/>
  <c r="AB65"/>
  <c r="AC65"/>
  <c r="AB9"/>
  <c r="AC9"/>
  <c r="AB38"/>
  <c r="AB77"/>
  <c r="AC77"/>
  <c r="AB17"/>
  <c r="AC17"/>
  <c r="AB86"/>
  <c r="AC86"/>
  <c r="AB47"/>
  <c r="AB68"/>
  <c r="AC68"/>
  <c r="AB70"/>
  <c r="AC70"/>
  <c r="AB78"/>
  <c r="AC78"/>
  <c r="AB84"/>
  <c r="AC84"/>
  <c r="AB61"/>
  <c r="AC61"/>
  <c r="AC31"/>
  <c r="AD42"/>
  <c r="AE51"/>
  <c r="AD51"/>
  <c r="AC51"/>
  <c r="AE10"/>
  <c r="AD10"/>
  <c r="AC10"/>
  <c r="AE28"/>
  <c r="AD28"/>
  <c r="AE19"/>
  <c r="AD19"/>
  <c r="AC19"/>
  <c r="AE16"/>
  <c r="AD16"/>
  <c r="AC16"/>
  <c r="AE6"/>
  <c r="AD6"/>
  <c r="AE8"/>
  <c r="AD8"/>
  <c r="AC8"/>
  <c r="AE41"/>
  <c r="AD41"/>
  <c r="AE22"/>
  <c r="AD22"/>
  <c r="AC22"/>
  <c r="AE39"/>
  <c r="AD39"/>
  <c r="AC39"/>
  <c r="AE4"/>
  <c r="AD4"/>
  <c r="AE38"/>
  <c r="AD38"/>
  <c r="AC38"/>
  <c r="AB7"/>
  <c r="AC7"/>
  <c r="AB41"/>
  <c r="AB44"/>
  <c r="AC13"/>
  <c r="AC29"/>
  <c r="AC32"/>
  <c r="AC30"/>
  <c r="AC21"/>
  <c r="AC14"/>
  <c r="AC50"/>
  <c r="AB87"/>
  <c r="AB89"/>
  <c r="AD27"/>
  <c r="AB43"/>
  <c r="AB15"/>
  <c r="AC40"/>
  <c r="AC53"/>
  <c r="AC47"/>
  <c r="AC24"/>
  <c r="AB88"/>
  <c r="AB18"/>
  <c r="AB90"/>
  <c r="AB91"/>
  <c r="AB4"/>
  <c r="AD11"/>
  <c r="AC52"/>
  <c r="AC48"/>
  <c r="D46"/>
  <c r="AE44"/>
  <c r="AD44"/>
  <c r="D43"/>
  <c r="AC41"/>
  <c r="D37"/>
  <c r="AE36"/>
  <c r="AD36"/>
  <c r="AC36"/>
  <c r="D34"/>
  <c r="AC33"/>
  <c r="D27"/>
  <c r="AC27"/>
  <c r="AC20"/>
  <c r="AC18"/>
  <c r="D11"/>
  <c r="AC6"/>
  <c r="AD34"/>
  <c r="AC34"/>
  <c r="AE15"/>
  <c r="AD15"/>
  <c r="AC15"/>
  <c r="AE43"/>
  <c r="AD43"/>
  <c r="AC43"/>
  <c r="AB11"/>
  <c r="AC11"/>
  <c r="B59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AC44"/>
  <c r="AC28"/>
  <c r="AC42"/>
  <c r="AC4"/>
</calcChain>
</file>

<file path=xl/comments1.xml><?xml version="1.0" encoding="utf-8"?>
<comments xmlns="http://schemas.openxmlformats.org/spreadsheetml/2006/main">
  <authors>
    <author>Pavel</author>
  </authors>
  <commentLis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Když klikneš na sloupec jednotlivých turnajů, tak se tabulka seřadí podle daného turnaje.
U celkového umístnění je řazení podle průměrů, a hráč smí vynechat pouze 1 turnaj
U počtu bodů je řazení podle dosažených bodů v jednotlivých turnajích.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<sst xmlns="http://schemas.openxmlformats.org/spreadsheetml/2006/main" count="1260" uniqueCount="225">
  <si>
    <t>Řepy</t>
  </si>
  <si>
    <t>Šafařík Luděk</t>
  </si>
  <si>
    <t>Pospíšil Václav</t>
  </si>
  <si>
    <t>Klíčov</t>
  </si>
  <si>
    <t>Carvan Pavel</t>
  </si>
  <si>
    <t>Kačerov</t>
  </si>
  <si>
    <t>Vršovice</t>
  </si>
  <si>
    <t>Mottl Pavel</t>
  </si>
  <si>
    <t>Mašát Petr</t>
  </si>
  <si>
    <t>Tomášek Zdeněk</t>
  </si>
  <si>
    <t>Krupa Martin</t>
  </si>
  <si>
    <t>Sláma Karel</t>
  </si>
  <si>
    <t>Plecháček Miroslav</t>
  </si>
  <si>
    <t>Aunický František</t>
  </si>
  <si>
    <t>Čermák Tomáš</t>
  </si>
  <si>
    <t>Jelínek Jan</t>
  </si>
  <si>
    <t>Hostivař</t>
  </si>
  <si>
    <t>Brejcha Jaroslav</t>
  </si>
  <si>
    <t>Křikava Miroslav</t>
  </si>
  <si>
    <t xml:space="preserve"> </t>
  </si>
  <si>
    <t>Mysliveček  Jaroslav</t>
  </si>
  <si>
    <t xml:space="preserve">   garáže</t>
  </si>
  <si>
    <t>25                                      nejvyšších náhozů</t>
  </si>
  <si>
    <t>25                                      nejnižších náhozů</t>
  </si>
  <si>
    <t>25                                      nejvyšších průměrů</t>
  </si>
  <si>
    <t>Kazda Jan</t>
  </si>
  <si>
    <t>Kocúr Jaroslav</t>
  </si>
  <si>
    <t>Troller Pavel</t>
  </si>
  <si>
    <t>Táborský František</t>
  </si>
  <si>
    <t>Novotná Petra</t>
  </si>
  <si>
    <t>Táborský Lukáš</t>
  </si>
  <si>
    <t>Křápek Roman</t>
  </si>
  <si>
    <t>Jirkovská Iveta</t>
  </si>
  <si>
    <t>Kročil Tomáš</t>
  </si>
  <si>
    <t>Alba Vladimír</t>
  </si>
  <si>
    <t>Hübner Jiří</t>
  </si>
  <si>
    <t>Douša Adam</t>
  </si>
  <si>
    <t>nejvyšší nához jednotlivce</t>
  </si>
  <si>
    <t>nejnižší nához jednotlivce</t>
  </si>
  <si>
    <t>Dejvice</t>
  </si>
  <si>
    <t>Buzi Jiří</t>
  </si>
  <si>
    <t>Číhal František</t>
  </si>
  <si>
    <t>Jošt Michal</t>
  </si>
  <si>
    <t>Krupová Martina</t>
  </si>
  <si>
    <t>Pěchočová Soňa</t>
  </si>
  <si>
    <t>Sehnal Ivan</t>
  </si>
  <si>
    <t>garáž</t>
  </si>
  <si>
    <t>kuželky</t>
  </si>
  <si>
    <t>16.2.</t>
  </si>
  <si>
    <t>14.3.</t>
  </si>
  <si>
    <t>průměr</t>
  </si>
  <si>
    <t>průměr na 1 hru</t>
  </si>
  <si>
    <t>průměr na turnaj</t>
  </si>
  <si>
    <t>28.3.</t>
  </si>
  <si>
    <t>18.4.</t>
  </si>
  <si>
    <t>12.9.</t>
  </si>
  <si>
    <t>17.10.</t>
  </si>
  <si>
    <t>7.11.</t>
  </si>
  <si>
    <t>Lazur Ladislav</t>
  </si>
  <si>
    <t>Holkup Jan</t>
  </si>
  <si>
    <t>Tichý Hugo</t>
  </si>
  <si>
    <t>Joštová Alena</t>
  </si>
  <si>
    <t>Štěrba Ladislav</t>
  </si>
  <si>
    <t>25                                      nejvyšších náhozů            na turnaj</t>
  </si>
  <si>
    <t>Veselý Vlastimil</t>
  </si>
  <si>
    <t>Novotný Lukáš</t>
  </si>
  <si>
    <t>Kalfiřt Petr</t>
  </si>
  <si>
    <t>Pecka Jiří</t>
  </si>
  <si>
    <t>Svítil Pavel</t>
  </si>
  <si>
    <t>Brož Stanislav</t>
  </si>
  <si>
    <t>Novák Antonín</t>
  </si>
  <si>
    <t>Věchtík Antonín</t>
  </si>
  <si>
    <t>Lazurová Jiřina</t>
  </si>
  <si>
    <t>Bulka Miroslav</t>
  </si>
  <si>
    <t>Fidler Slávek</t>
  </si>
  <si>
    <t>Růžička Václav</t>
  </si>
  <si>
    <t>Sladovník Miloš</t>
  </si>
  <si>
    <t>Novotná Jana</t>
  </si>
  <si>
    <t>Šafář Bohumil</t>
  </si>
  <si>
    <t>Radová Petra</t>
  </si>
  <si>
    <t>Ondřich František</t>
  </si>
  <si>
    <t>Garáž</t>
  </si>
  <si>
    <t>I.</t>
  </si>
  <si>
    <t>II.</t>
  </si>
  <si>
    <t>III.</t>
  </si>
  <si>
    <t>IV.</t>
  </si>
  <si>
    <t>V.</t>
  </si>
  <si>
    <t>Body</t>
  </si>
  <si>
    <t>Šindelář Karel</t>
  </si>
  <si>
    <t>Bergerová Marcela</t>
  </si>
  <si>
    <t>Lokvenc Jiří</t>
  </si>
  <si>
    <t>Kovář Jaroslav</t>
  </si>
  <si>
    <t>Křemenák Petr</t>
  </si>
  <si>
    <t>Krupa Jozef</t>
  </si>
  <si>
    <t>Růžička Ladislav</t>
  </si>
  <si>
    <t>Kučera Miroslav</t>
  </si>
  <si>
    <t>Kutina Pavel</t>
  </si>
  <si>
    <t>Podhola Martin</t>
  </si>
  <si>
    <t>Šafářová Veronika</t>
  </si>
  <si>
    <t>Pokorný Josef</t>
  </si>
  <si>
    <t>Fay Vlastimil</t>
  </si>
  <si>
    <t>Bošek Jan</t>
  </si>
  <si>
    <t>Skružná Pavla</t>
  </si>
  <si>
    <t>Kozel Pavel</t>
  </si>
  <si>
    <t>umístnění v jednotlivých turnajích</t>
  </si>
  <si>
    <t>družstva</t>
  </si>
  <si>
    <t>jednotlivci</t>
  </si>
  <si>
    <t>1. místo</t>
  </si>
  <si>
    <t>2. místo</t>
  </si>
  <si>
    <t>3. místo</t>
  </si>
  <si>
    <t>Kačena Martin</t>
  </si>
  <si>
    <t>Piešťanský Josef</t>
  </si>
  <si>
    <t>Kolář Ladislav</t>
  </si>
  <si>
    <t>Kollár Pavel</t>
  </si>
  <si>
    <t>ZPĚT</t>
  </si>
  <si>
    <t>klikni</t>
  </si>
  <si>
    <t>Šafář Vladimír</t>
  </si>
  <si>
    <t>Štěpán Radek</t>
  </si>
  <si>
    <t>Křikavová Miroslava</t>
  </si>
  <si>
    <t>Pospíšil Lukáš</t>
  </si>
  <si>
    <t>Celkové umístění jednotlivců na turnajích v BOWLINGU  2013</t>
  </si>
  <si>
    <t>Jméno</t>
  </si>
  <si>
    <t>Jednotlivci.</t>
  </si>
  <si>
    <t>Družstva.</t>
  </si>
  <si>
    <t>ŘEPY I.</t>
  </si>
  <si>
    <t>KLÍČOV</t>
  </si>
  <si>
    <t>ŘEPY</t>
  </si>
  <si>
    <t>ŘEPY II.</t>
  </si>
  <si>
    <t>HOSTIVAŘ</t>
  </si>
  <si>
    <t>KAČEROV</t>
  </si>
  <si>
    <t>VRŠOVICE</t>
  </si>
  <si>
    <t>KAČEROV I.</t>
  </si>
  <si>
    <t>PRO PŘÍPAD            11 DRUŽSTEV</t>
  </si>
  <si>
    <t>KAČEROV II.</t>
  </si>
  <si>
    <t>HOSTIVAŘ I.</t>
  </si>
  <si>
    <t>HOSTIVAŘ II.</t>
  </si>
  <si>
    <t>VRŠOVICE I.</t>
  </si>
  <si>
    <t>VRŠOVICE II.</t>
  </si>
  <si>
    <t>KLÍČOV I.</t>
  </si>
  <si>
    <t>KLÍČOV II.</t>
  </si>
  <si>
    <t>Berger Michal</t>
  </si>
  <si>
    <t>Žalud Miroslav</t>
  </si>
  <si>
    <t>pořadí jednotlivců</t>
  </si>
  <si>
    <t>Vychnerová Michala</t>
  </si>
  <si>
    <t>Froněk Martin</t>
  </si>
  <si>
    <t>Pipek Pavel</t>
  </si>
  <si>
    <t xml:space="preserve"> Počet turnajů</t>
  </si>
  <si>
    <t xml:space="preserve"> Počet celkových bodů</t>
  </si>
  <si>
    <t xml:space="preserve"> Průměer na hru</t>
  </si>
  <si>
    <t xml:space="preserve"> Průměr na turnaj</t>
  </si>
  <si>
    <t xml:space="preserve"> jméno</t>
  </si>
  <si>
    <t>turnaje</t>
  </si>
  <si>
    <t xml:space="preserve"> turnaje</t>
  </si>
  <si>
    <t>statistika celkem</t>
  </si>
  <si>
    <t>garáže</t>
  </si>
  <si>
    <t>zpět</t>
  </si>
  <si>
    <t>Dvořák Petr</t>
  </si>
  <si>
    <t>Pavlíček Rudolf</t>
  </si>
  <si>
    <t>Šafrová Martina</t>
  </si>
  <si>
    <t>Turek Stanislav</t>
  </si>
  <si>
    <t>Katolický Zdeněk</t>
  </si>
  <si>
    <t>POHÁR GŘ</t>
  </si>
  <si>
    <t>Pelikán Stanislav</t>
  </si>
  <si>
    <t>POHÁR GENERÁLNÍHO ŘEDITELE</t>
  </si>
  <si>
    <t>Křemenák Jakub</t>
  </si>
  <si>
    <t>Tóth Lubomír</t>
  </si>
  <si>
    <t>Bánovský Jaroslav</t>
  </si>
  <si>
    <t>Hrabě Jan</t>
  </si>
  <si>
    <t>Hájek Lukáš</t>
  </si>
  <si>
    <t>Zelenková Jitka</t>
  </si>
  <si>
    <t>Doman Marcel</t>
  </si>
  <si>
    <t>Svoboda Jan</t>
  </si>
  <si>
    <t>Pražák Martin</t>
  </si>
  <si>
    <t>Novotný Josef</t>
  </si>
  <si>
    <t>_._.</t>
  </si>
  <si>
    <r>
      <t xml:space="preserve">        ZE VŠECH TURNAJŮ   2015                                                           </t>
    </r>
    <r>
      <rPr>
        <b/>
        <sz val="18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jednotlivé turnaje        </t>
    </r>
    <r>
      <rPr>
        <b/>
        <sz val="10.5"/>
        <rFont val="Arial"/>
        <family val="2"/>
        <charset val="238"/>
      </rPr>
      <t xml:space="preserve">  </t>
    </r>
  </si>
  <si>
    <t>_._.2015   KAČEROV</t>
  </si>
  <si>
    <t>_._.2015   VRŠOVICE</t>
  </si>
  <si>
    <t>_._.2015   POHÁR GENERÁLNÍHO ŘEDITELE - DP</t>
  </si>
  <si>
    <t>JEDNOTLIVÉ TURNAJE V ROCE 2015</t>
  </si>
  <si>
    <t>POŘADÍ DRUŽSTEV</t>
  </si>
  <si>
    <t>POŘEDÍ GARÁŽÍ</t>
  </si>
  <si>
    <t>31.1.</t>
  </si>
  <si>
    <t>PV-OSZO DP-A    31.1.2015</t>
  </si>
  <si>
    <t>KAČEROV     _._.20145</t>
  </si>
  <si>
    <t>VRŠOVICE     _._.2015</t>
  </si>
  <si>
    <t>Sportovní turnaj v Bowlingu o pohár ZV-OS Kačerov dne _._. 2015</t>
  </si>
  <si>
    <t>Sportovní turnaj v Bowlingu o pohár ZV-OS Vršovice dne _._. 2015</t>
  </si>
  <si>
    <t>3. ročník turnaje v bowlingu o "Putovní pohár GŘ DP - Praha, ing. J. Ďuriše", dne _._. 2015</t>
  </si>
  <si>
    <t>Sportovní turnaj v Bowlingu o pohár  ZV-OS ___ dne _. _. 2014</t>
  </si>
  <si>
    <t>Zpět</t>
  </si>
  <si>
    <t>28.2.</t>
  </si>
  <si>
    <t>25.4.</t>
  </si>
  <si>
    <t>VRŠOVICE III.</t>
  </si>
  <si>
    <t>Sportovní turnaj v Bowlingu o pohár ZV-OS Klíčov dne 28.2. 2015</t>
  </si>
  <si>
    <t>Sportovní turnaj v Bowlingu o pohár ZV-OS Řepy dne 28.3. 2015</t>
  </si>
  <si>
    <t>Sportovní turnaj v Bowlingu o pohár ZV-OS Hostivař dne 25.4. 2015</t>
  </si>
  <si>
    <t>KLÍČOV    28.2.2015</t>
  </si>
  <si>
    <t xml:space="preserve">31.1.  2015  PV-OSZO DP-A </t>
  </si>
  <si>
    <t>28.2.2015   KLÍČOV</t>
  </si>
  <si>
    <t>ŘEPY    28.3.2015</t>
  </si>
  <si>
    <t>28.3.2015   ŘEPY</t>
  </si>
  <si>
    <t>HOSTIVAŘ     25.4.2015</t>
  </si>
  <si>
    <t>25.4.2015   HOSTIVAŘ</t>
  </si>
  <si>
    <t>ŘEPY III.</t>
  </si>
  <si>
    <t>Ekert Stanislav</t>
  </si>
  <si>
    <t>Sladovník Miloslav</t>
  </si>
  <si>
    <t>Kocůr Jaroslav</t>
  </si>
  <si>
    <t>Ekert Michal</t>
  </si>
  <si>
    <t>Červenka Ivan</t>
  </si>
  <si>
    <t>PV OSZO</t>
  </si>
  <si>
    <t>Sportovní turnaj v Bowlingu o pohár  PV-OSZO DP-Autobusy Praha - dne  31. 1. 2015</t>
  </si>
  <si>
    <t>Lazur Michal</t>
  </si>
  <si>
    <t>Mysliveček Jaroslav</t>
  </si>
  <si>
    <t>Šafář Ladislav</t>
  </si>
  <si>
    <t>Liebich František</t>
  </si>
  <si>
    <t>Aunický Ftantišek</t>
  </si>
  <si>
    <t>Liebichová Inke</t>
  </si>
  <si>
    <t>Štěpánek Radek</t>
  </si>
  <si>
    <t>Neshyba Jaroslav</t>
  </si>
  <si>
    <t>Erekt Stanislav</t>
  </si>
  <si>
    <t>Erekt Michal</t>
  </si>
  <si>
    <t>Leibich František</t>
  </si>
  <si>
    <t>Leibichová Inke</t>
  </si>
  <si>
    <t>Červanka Ivan</t>
  </si>
</sst>
</file>

<file path=xl/styles.xml><?xml version="1.0" encoding="utf-8"?>
<styleSheet xmlns="http://schemas.openxmlformats.org/spreadsheetml/2006/main">
  <numFmts count="4">
    <numFmt numFmtId="164" formatCode="0.00;[Red]0.00"/>
    <numFmt numFmtId="170" formatCode="0.0"/>
    <numFmt numFmtId="177" formatCode="0;[Red]0"/>
    <numFmt numFmtId="180" formatCode="0.000;[Red]0.000"/>
  </numFmts>
  <fonts count="16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22"/>
      <color indexed="23"/>
      <name val="Arial"/>
      <family val="2"/>
      <charset val="238"/>
    </font>
    <font>
      <b/>
      <sz val="14"/>
      <color indexed="47"/>
      <name val="Arial"/>
      <family val="2"/>
      <charset val="238"/>
    </font>
    <font>
      <b/>
      <sz val="18"/>
      <color indexed="4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b/>
      <sz val="11"/>
      <color indexed="30"/>
      <name val="Times New Roman"/>
      <family val="1"/>
      <charset val="238"/>
    </font>
    <font>
      <b/>
      <sz val="11"/>
      <color indexed="36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color indexed="10"/>
      <name val="Arial"/>
      <family val="2"/>
      <charset val="238"/>
    </font>
    <font>
      <b/>
      <sz val="11"/>
      <color indexed="30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color indexed="60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1"/>
      <color indexed="17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color indexed="36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indexed="2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1"/>
      <color indexed="20"/>
      <name val="Arial"/>
      <family val="2"/>
      <charset val="238"/>
    </font>
    <font>
      <b/>
      <sz val="11"/>
      <color indexed="60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b/>
      <sz val="11"/>
      <color indexed="20"/>
      <name val="Times New Roman"/>
      <family val="1"/>
      <charset val="238"/>
    </font>
    <font>
      <b/>
      <sz val="9"/>
      <color indexed="20"/>
      <name val="Arial"/>
      <family val="2"/>
      <charset val="238"/>
    </font>
    <font>
      <b/>
      <sz val="11"/>
      <color indexed="4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1"/>
      <color indexed="48"/>
      <name val="Times New Roman"/>
      <family val="1"/>
      <charset val="238"/>
    </font>
    <font>
      <b/>
      <sz val="9"/>
      <color indexed="36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1"/>
      <color indexed="64"/>
      <name val="Calibri"/>
      <family val="2"/>
      <charset val="238"/>
    </font>
    <font>
      <b/>
      <sz val="10.5"/>
      <name val="Arial"/>
      <family val="2"/>
      <charset val="238"/>
    </font>
    <font>
      <b/>
      <sz val="18"/>
      <color indexed="57"/>
      <name val="Arial"/>
      <family val="2"/>
      <charset val="238"/>
    </font>
    <font>
      <b/>
      <sz val="12"/>
      <color indexed="57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64"/>
      <name val="Calibri"/>
      <family val="2"/>
      <charset val="238"/>
    </font>
    <font>
      <b/>
      <sz val="11"/>
      <color indexed="48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b/>
      <sz val="11"/>
      <color indexed="2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36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36"/>
      <color indexed="23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9"/>
      <color indexed="20"/>
      <name val="Arial"/>
      <family val="2"/>
      <charset val="238"/>
    </font>
    <font>
      <sz val="11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1"/>
      <color indexed="53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1"/>
      <color indexed="48"/>
      <name val="Times New Roman"/>
      <family val="1"/>
      <charset val="238"/>
    </font>
    <font>
      <b/>
      <sz val="18"/>
      <color indexed="10"/>
      <name val="Arial"/>
      <family val="2"/>
      <charset val="238"/>
    </font>
    <font>
      <b/>
      <sz val="18"/>
      <color indexed="9"/>
      <name val="Arial"/>
      <family val="2"/>
      <charset val="238"/>
    </font>
    <font>
      <sz val="10"/>
      <name val="Arial"/>
      <family val="2"/>
      <charset val="238"/>
    </font>
    <font>
      <sz val="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4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1"/>
      <color indexed="20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2"/>
      <color indexed="36"/>
      <name val="Arial"/>
      <family val="2"/>
      <charset val="238"/>
    </font>
    <font>
      <b/>
      <sz val="9"/>
      <color indexed="2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36"/>
      <name val="Arial"/>
      <family val="2"/>
      <charset val="238"/>
    </font>
    <font>
      <sz val="10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20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8"/>
      <color indexed="6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26"/>
      <name val="Arial"/>
      <family val="2"/>
      <charset val="238"/>
    </font>
    <font>
      <b/>
      <u/>
      <sz val="8"/>
      <color indexed="64"/>
      <name val="Calibri"/>
      <family val="2"/>
      <charset val="238"/>
    </font>
    <font>
      <b/>
      <sz val="26"/>
      <color indexed="23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theme="0"/>
      <name val="Arial"/>
      <family val="2"/>
      <charset val="238"/>
    </font>
    <font>
      <b/>
      <sz val="11"/>
      <color rgb="FF800080"/>
      <name val="Times New Roman"/>
      <family val="1"/>
      <charset val="238"/>
    </font>
    <font>
      <b/>
      <sz val="10"/>
      <color rgb="FF993300"/>
      <name val="Arial"/>
      <family val="2"/>
      <charset val="238"/>
    </font>
    <font>
      <b/>
      <sz val="10"/>
      <color rgb="FF3366FF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800080"/>
      <name val="Arial"/>
      <family val="2"/>
      <charset val="238"/>
    </font>
    <font>
      <b/>
      <sz val="11"/>
      <color rgb="FF800080"/>
      <name val="Arial"/>
      <family val="2"/>
      <charset val="238"/>
    </font>
    <font>
      <b/>
      <sz val="12"/>
      <color rgb="FF3366FF"/>
      <name val="Arial"/>
      <family val="2"/>
      <charset val="238"/>
    </font>
    <font>
      <b/>
      <sz val="12"/>
      <color rgb="FF800080"/>
      <name val="Arial"/>
      <family val="2"/>
      <charset val="238"/>
    </font>
    <font>
      <b/>
      <sz val="12"/>
      <color rgb="FF993300"/>
      <name val="Arial"/>
      <family val="2"/>
      <charset val="238"/>
    </font>
    <font>
      <b/>
      <sz val="12"/>
      <color rgb="FF008000"/>
      <name val="Arial"/>
      <family val="2"/>
      <charset val="238"/>
    </font>
    <font>
      <b/>
      <sz val="12"/>
      <color rgb="FF990099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9900"/>
        <bgColor indexed="64"/>
      </patternFill>
    </fill>
  </fills>
  <borders count="1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 style="thin">
        <color indexed="64"/>
      </bottom>
      <diagonal/>
    </border>
    <border>
      <left style="thin">
        <color indexed="13"/>
      </left>
      <right style="thin">
        <color indexed="64"/>
      </right>
      <top style="thin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13"/>
      </right>
      <top style="thin">
        <color indexed="64"/>
      </top>
      <bottom style="thin">
        <color indexed="13"/>
      </bottom>
      <diagonal/>
    </border>
    <border>
      <left style="thin">
        <color indexed="1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3"/>
      </right>
      <top/>
      <bottom style="thin">
        <color indexed="64"/>
      </bottom>
      <diagonal/>
    </border>
    <border>
      <left style="thin">
        <color indexed="1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3"/>
      </right>
      <top style="thin">
        <color indexed="64"/>
      </top>
      <bottom/>
      <diagonal/>
    </border>
    <border>
      <left/>
      <right/>
      <top style="thin">
        <color indexed="13"/>
      </top>
      <bottom/>
      <diagonal/>
    </border>
    <border>
      <left/>
      <right/>
      <top/>
      <bottom style="thin">
        <color indexed="1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8" fillId="0" borderId="0"/>
    <xf numFmtId="0" fontId="4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8" fillId="0" borderId="0"/>
    <xf numFmtId="0" fontId="17" fillId="0" borderId="0"/>
    <xf numFmtId="0" fontId="68" fillId="0" borderId="0"/>
    <xf numFmtId="0" fontId="17" fillId="0" borderId="0"/>
    <xf numFmtId="0" fontId="68" fillId="0" borderId="0"/>
    <xf numFmtId="0" fontId="17" fillId="0" borderId="0"/>
    <xf numFmtId="0" fontId="68" fillId="0" borderId="0"/>
    <xf numFmtId="0" fontId="17" fillId="0" borderId="0"/>
    <xf numFmtId="0" fontId="17" fillId="0" borderId="0"/>
    <xf numFmtId="0" fontId="17" fillId="0" borderId="0"/>
    <xf numFmtId="0" fontId="151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" fillId="0" borderId="0"/>
    <xf numFmtId="0" fontId="17" fillId="0" borderId="0"/>
    <xf numFmtId="0" fontId="68" fillId="0" borderId="0"/>
    <xf numFmtId="0" fontId="17" fillId="0" borderId="0"/>
    <xf numFmtId="0" fontId="100" fillId="0" borderId="0"/>
    <xf numFmtId="0" fontId="17" fillId="0" borderId="0"/>
    <xf numFmtId="0" fontId="127" fillId="0" borderId="0"/>
    <xf numFmtId="0" fontId="74" fillId="0" borderId="0">
      <alignment vertical="center"/>
    </xf>
    <xf numFmtId="0" fontId="69" fillId="0" borderId="0">
      <alignment vertical="center"/>
    </xf>
    <xf numFmtId="0" fontId="17" fillId="0" borderId="0"/>
    <xf numFmtId="0" fontId="17" fillId="0" borderId="0"/>
    <xf numFmtId="0" fontId="152" fillId="0" borderId="0"/>
    <xf numFmtId="0" fontId="100" fillId="0" borderId="0"/>
    <xf numFmtId="0" fontId="17" fillId="0" borderId="0"/>
  </cellStyleXfs>
  <cellXfs count="9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Fill="1"/>
    <xf numFmtId="0" fontId="10" fillId="2" borderId="1" xfId="0" applyFont="1" applyFill="1" applyBorder="1" applyAlignment="1">
      <alignment vertical="center" textRotation="90"/>
    </xf>
    <xf numFmtId="0" fontId="15" fillId="2" borderId="2" xfId="0" applyFont="1" applyFill="1" applyBorder="1" applyAlignment="1">
      <alignment vertical="center" textRotation="90"/>
    </xf>
    <xf numFmtId="0" fontId="19" fillId="0" borderId="0" xfId="0" applyFont="1"/>
    <xf numFmtId="0" fontId="0" fillId="0" borderId="0" xfId="0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4" xfId="0" applyFont="1" applyFill="1" applyBorder="1"/>
    <xf numFmtId="0" fontId="26" fillId="0" borderId="4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2" fontId="20" fillId="5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4" borderId="3" xfId="0" applyFont="1" applyFill="1" applyBorder="1"/>
    <xf numFmtId="0" fontId="17" fillId="0" borderId="0" xfId="0" applyFont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1" fillId="0" borderId="0" xfId="0" applyFont="1"/>
    <xf numFmtId="0" fontId="21" fillId="3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9" fillId="0" borderId="4" xfId="0" applyFont="1" applyFill="1" applyBorder="1"/>
    <xf numFmtId="0" fontId="17" fillId="0" borderId="3" xfId="54" applyFont="1" applyFill="1" applyBorder="1" applyAlignment="1">
      <alignment horizontal="center" vertical="center"/>
    </xf>
    <xf numFmtId="1" fontId="40" fillId="0" borderId="3" xfId="0" applyNumberFormat="1" applyFont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3" xfId="0" applyFont="1" applyFill="1" applyBorder="1" applyAlignment="1">
      <alignment horizontal="center" vertical="center"/>
    </xf>
    <xf numFmtId="0" fontId="29" fillId="0" borderId="4" xfId="0" applyFont="1" applyFill="1" applyBorder="1"/>
    <xf numFmtId="0" fontId="47" fillId="0" borderId="3" xfId="0" applyFont="1" applyFill="1" applyBorder="1" applyAlignment="1">
      <alignment horizontal="right" vertical="center"/>
    </xf>
    <xf numFmtId="1" fontId="17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/>
    </xf>
    <xf numFmtId="0" fontId="56" fillId="0" borderId="4" xfId="0" applyFont="1" applyFill="1" applyBorder="1"/>
    <xf numFmtId="0" fontId="57" fillId="0" borderId="3" xfId="0" applyFont="1" applyBorder="1" applyAlignment="1">
      <alignment horizontal="left" vertical="center"/>
    </xf>
    <xf numFmtId="0" fontId="58" fillId="0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3" xfId="0" applyFont="1" applyBorder="1"/>
    <xf numFmtId="164" fontId="6" fillId="0" borderId="6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0" borderId="7" xfId="0" applyFont="1" applyFill="1" applyBorder="1"/>
    <xf numFmtId="0" fontId="17" fillId="0" borderId="8" xfId="0" applyFont="1" applyFill="1" applyBorder="1"/>
    <xf numFmtId="0" fontId="6" fillId="0" borderId="9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5" fillId="0" borderId="4" xfId="0" applyFont="1" applyFill="1" applyBorder="1" applyAlignment="1">
      <alignment horizontal="left"/>
    </xf>
    <xf numFmtId="0" fontId="65" fillId="0" borderId="4" xfId="0" applyFont="1" applyFill="1" applyBorder="1"/>
    <xf numFmtId="177" fontId="4" fillId="0" borderId="3" xfId="0" applyNumberFormat="1" applyFont="1" applyBorder="1" applyAlignment="1">
      <alignment horizontal="center" vertical="center"/>
    </xf>
    <xf numFmtId="177" fontId="61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64" fillId="0" borderId="5" xfId="0" applyNumberFormat="1" applyFont="1" applyBorder="1" applyAlignment="1">
      <alignment horizontal="center" vertical="center"/>
    </xf>
    <xf numFmtId="177" fontId="62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7" borderId="0" xfId="54" applyFill="1"/>
    <xf numFmtId="0" fontId="17" fillId="0" borderId="0" xfId="54" applyFill="1"/>
    <xf numFmtId="0" fontId="16" fillId="7" borderId="0" xfId="54" applyFont="1" applyFill="1" applyAlignment="1">
      <alignment horizontal="center"/>
    </xf>
    <xf numFmtId="0" fontId="17" fillId="0" borderId="0" xfId="54" applyFont="1" applyFill="1"/>
    <xf numFmtId="0" fontId="23" fillId="0" borderId="3" xfId="54" applyFont="1" applyFill="1" applyBorder="1"/>
    <xf numFmtId="0" fontId="23" fillId="0" borderId="11" xfId="54" applyFont="1" applyFill="1" applyBorder="1"/>
    <xf numFmtId="0" fontId="17" fillId="0" borderId="7" xfId="54" applyFill="1" applyBorder="1"/>
    <xf numFmtId="0" fontId="17" fillId="0" borderId="7" xfId="54" applyFont="1" applyFill="1" applyBorder="1"/>
    <xf numFmtId="0" fontId="17" fillId="0" borderId="0" xfId="54" applyFill="1" applyAlignment="1">
      <alignment horizontal="center"/>
    </xf>
    <xf numFmtId="0" fontId="23" fillId="0" borderId="12" xfId="54" applyFont="1" applyFill="1" applyBorder="1" applyAlignment="1"/>
    <xf numFmtId="0" fontId="75" fillId="0" borderId="4" xfId="0" applyFont="1" applyFill="1" applyBorder="1"/>
    <xf numFmtId="0" fontId="76" fillId="0" borderId="4" xfId="0" applyFont="1" applyFill="1" applyBorder="1"/>
    <xf numFmtId="0" fontId="77" fillId="0" borderId="4" xfId="0" applyFont="1" applyFill="1" applyBorder="1" applyAlignment="1">
      <alignment horizontal="left"/>
    </xf>
    <xf numFmtId="0" fontId="78" fillId="0" borderId="4" xfId="0" applyFont="1" applyFill="1" applyBorder="1" applyAlignment="1">
      <alignment horizontal="left"/>
    </xf>
    <xf numFmtId="0" fontId="20" fillId="0" borderId="3" xfId="0" applyFont="1" applyFill="1" applyBorder="1"/>
    <xf numFmtId="0" fontId="17" fillId="0" borderId="13" xfId="54" applyFont="1" applyFill="1" applyBorder="1"/>
    <xf numFmtId="0" fontId="75" fillId="0" borderId="4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7" fillId="8" borderId="0" xfId="54" applyFill="1"/>
    <xf numFmtId="0" fontId="12" fillId="8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9" borderId="15" xfId="0" applyFont="1" applyFill="1" applyBorder="1" applyAlignment="1">
      <alignment horizontal="center" textRotation="90"/>
    </xf>
    <xf numFmtId="0" fontId="77" fillId="0" borderId="4" xfId="0" applyFont="1" applyFill="1" applyBorder="1"/>
    <xf numFmtId="0" fontId="20" fillId="0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7" fillId="0" borderId="3" xfId="0" applyFont="1" applyBorder="1"/>
    <xf numFmtId="177" fontId="81" fillId="0" borderId="16" xfId="0" applyNumberFormat="1" applyFont="1" applyBorder="1" applyAlignment="1">
      <alignment horizontal="center" vertical="center"/>
    </xf>
    <xf numFmtId="177" fontId="81" fillId="0" borderId="17" xfId="0" applyNumberFormat="1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left"/>
    </xf>
    <xf numFmtId="0" fontId="4" fillId="0" borderId="3" xfId="54" applyFont="1" applyFill="1" applyBorder="1"/>
    <xf numFmtId="0" fontId="4" fillId="0" borderId="3" xfId="54" applyFont="1" applyFill="1" applyBorder="1" applyAlignment="1">
      <alignment horizontal="center"/>
    </xf>
    <xf numFmtId="0" fontId="83" fillId="0" borderId="5" xfId="0" applyFont="1" applyBorder="1" applyAlignment="1">
      <alignment horizontal="center" vertical="center"/>
    </xf>
    <xf numFmtId="0" fontId="0" fillId="10" borderId="0" xfId="0" applyFill="1"/>
    <xf numFmtId="0" fontId="0" fillId="10" borderId="0" xfId="0" applyFill="1" applyBorder="1"/>
    <xf numFmtId="0" fontId="12" fillId="10" borderId="0" xfId="0" applyFont="1" applyFill="1" applyAlignment="1">
      <alignment horizontal="center" vertical="center"/>
    </xf>
    <xf numFmtId="0" fontId="89" fillId="11" borderId="3" xfId="0" applyFont="1" applyFill="1" applyBorder="1" applyAlignment="1">
      <alignment horizontal="center" vertical="center"/>
    </xf>
    <xf numFmtId="0" fontId="90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0" fontId="3" fillId="12" borderId="18" xfId="0" applyFont="1" applyFill="1" applyBorder="1" applyAlignment="1">
      <alignment vertical="center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textRotation="90"/>
    </xf>
    <xf numFmtId="0" fontId="5" fillId="13" borderId="15" xfId="0" applyFont="1" applyFill="1" applyBorder="1" applyAlignment="1">
      <alignment horizontal="center" textRotation="90"/>
    </xf>
    <xf numFmtId="0" fontId="3" fillId="4" borderId="15" xfId="0" applyFont="1" applyFill="1" applyBorder="1" applyAlignment="1">
      <alignment horizontal="center" textRotation="90"/>
    </xf>
    <xf numFmtId="0" fontId="4" fillId="2" borderId="15" xfId="0" applyFont="1" applyFill="1" applyBorder="1" applyAlignment="1">
      <alignment horizontal="center" textRotation="90"/>
    </xf>
    <xf numFmtId="0" fontId="4" fillId="13" borderId="19" xfId="0" applyFont="1" applyFill="1" applyBorder="1" applyAlignment="1">
      <alignment horizontal="center" textRotation="90"/>
    </xf>
    <xf numFmtId="0" fontId="25" fillId="0" borderId="3" xfId="0" applyFont="1" applyFill="1" applyBorder="1"/>
    <xf numFmtId="0" fontId="65" fillId="0" borderId="3" xfId="0" applyFont="1" applyFill="1" applyBorder="1"/>
    <xf numFmtId="0" fontId="29" fillId="0" borderId="3" xfId="0" applyFont="1" applyFill="1" applyBorder="1"/>
    <xf numFmtId="0" fontId="76" fillId="0" borderId="3" xfId="0" applyFont="1" applyFill="1" applyBorder="1"/>
    <xf numFmtId="0" fontId="26" fillId="0" borderId="3" xfId="0" applyFont="1" applyFill="1" applyBorder="1"/>
    <xf numFmtId="0" fontId="28" fillId="0" borderId="3" xfId="0" applyFont="1" applyFill="1" applyBorder="1"/>
    <xf numFmtId="0" fontId="3" fillId="0" borderId="0" xfId="0" applyFont="1"/>
    <xf numFmtId="0" fontId="8" fillId="14" borderId="20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left"/>
    </xf>
    <xf numFmtId="0" fontId="7" fillId="14" borderId="21" xfId="0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/>
    </xf>
    <xf numFmtId="0" fontId="59" fillId="14" borderId="3" xfId="0" applyFont="1" applyFill="1" applyBorder="1" applyAlignment="1">
      <alignment horizontal="left"/>
    </xf>
    <xf numFmtId="0" fontId="59" fillId="14" borderId="9" xfId="0" applyFont="1" applyFill="1" applyBorder="1" applyAlignment="1"/>
    <xf numFmtId="0" fontId="8" fillId="14" borderId="23" xfId="0" applyFont="1" applyFill="1" applyBorder="1" applyAlignment="1">
      <alignment horizontal="center"/>
    </xf>
    <xf numFmtId="0" fontId="6" fillId="14" borderId="9" xfId="0" applyFont="1" applyFill="1" applyBorder="1" applyAlignment="1"/>
    <xf numFmtId="0" fontId="91" fillId="14" borderId="3" xfId="0" applyFont="1" applyFill="1" applyBorder="1" applyAlignment="1">
      <alignment horizontal="left"/>
    </xf>
    <xf numFmtId="0" fontId="59" fillId="14" borderId="6" xfId="0" applyFont="1" applyFill="1" applyBorder="1" applyAlignment="1"/>
    <xf numFmtId="0" fontId="6" fillId="14" borderId="6" xfId="0" applyFont="1" applyFill="1" applyBorder="1" applyAlignment="1"/>
    <xf numFmtId="0" fontId="6" fillId="14" borderId="3" xfId="0" applyFont="1" applyFill="1" applyBorder="1" applyAlignment="1"/>
    <xf numFmtId="0" fontId="91" fillId="14" borderId="18" xfId="0" applyFont="1" applyFill="1" applyBorder="1" applyAlignment="1">
      <alignment horizontal="left"/>
    </xf>
    <xf numFmtId="0" fontId="6" fillId="14" borderId="18" xfId="0" applyFont="1" applyFill="1" applyBorder="1" applyAlignment="1">
      <alignment horizontal="left"/>
    </xf>
    <xf numFmtId="0" fontId="8" fillId="14" borderId="24" xfId="0" applyFont="1" applyFill="1" applyBorder="1" applyAlignment="1">
      <alignment horizontal="center"/>
    </xf>
    <xf numFmtId="0" fontId="6" fillId="14" borderId="25" xfId="0" applyFont="1" applyFill="1" applyBorder="1" applyAlignment="1">
      <alignment horizontal="left"/>
    </xf>
    <xf numFmtId="0" fontId="7" fillId="14" borderId="26" xfId="0" applyFont="1" applyFill="1" applyBorder="1" applyAlignment="1">
      <alignment horizontal="center"/>
    </xf>
    <xf numFmtId="0" fontId="6" fillId="14" borderId="10" xfId="0" applyFont="1" applyFill="1" applyBorder="1" applyAlignment="1"/>
    <xf numFmtId="0" fontId="30" fillId="7" borderId="4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4" xfId="0" applyFont="1" applyFill="1" applyBorder="1"/>
    <xf numFmtId="0" fontId="48" fillId="7" borderId="4" xfId="0" applyFont="1" applyFill="1" applyBorder="1" applyAlignment="1">
      <alignment horizontal="left"/>
    </xf>
    <xf numFmtId="0" fontId="60" fillId="7" borderId="4" xfId="0" applyFont="1" applyFill="1" applyBorder="1" applyAlignment="1">
      <alignment horizontal="left"/>
    </xf>
    <xf numFmtId="0" fontId="48" fillId="7" borderId="4" xfId="0" applyFont="1" applyFill="1" applyBorder="1"/>
    <xf numFmtId="0" fontId="31" fillId="7" borderId="4" xfId="0" applyFont="1" applyFill="1" applyBorder="1"/>
    <xf numFmtId="0" fontId="32" fillId="7" borderId="4" xfId="0" applyFont="1" applyFill="1" applyBorder="1" applyAlignment="1">
      <alignment horizontal="left"/>
    </xf>
    <xf numFmtId="0" fontId="53" fillId="7" borderId="4" xfId="0" applyFont="1" applyFill="1" applyBorder="1" applyAlignment="1">
      <alignment horizontal="left"/>
    </xf>
    <xf numFmtId="0" fontId="38" fillId="7" borderId="3" xfId="0" applyFont="1" applyFill="1" applyBorder="1"/>
    <xf numFmtId="0" fontId="32" fillId="7" borderId="3" xfId="0" applyFont="1" applyFill="1" applyBorder="1"/>
    <xf numFmtId="0" fontId="32" fillId="7" borderId="4" xfId="0" applyFont="1" applyFill="1" applyBorder="1"/>
    <xf numFmtId="0" fontId="33" fillId="7" borderId="4" xfId="0" applyFont="1" applyFill="1" applyBorder="1" applyAlignment="1">
      <alignment horizontal="left"/>
    </xf>
    <xf numFmtId="0" fontId="54" fillId="7" borderId="4" xfId="0" applyFont="1" applyFill="1" applyBorder="1" applyAlignment="1">
      <alignment horizontal="left"/>
    </xf>
    <xf numFmtId="0" fontId="46" fillId="7" borderId="4" xfId="0" applyFont="1" applyFill="1" applyBorder="1" applyAlignment="1">
      <alignment horizontal="left"/>
    </xf>
    <xf numFmtId="0" fontId="46" fillId="7" borderId="3" xfId="0" applyFont="1" applyFill="1" applyBorder="1" applyAlignment="1">
      <alignment horizontal="left" vertical="center"/>
    </xf>
    <xf numFmtId="0" fontId="33" fillId="7" borderId="3" xfId="0" applyFont="1" applyFill="1" applyBorder="1" applyAlignment="1">
      <alignment horizontal="left" vertical="center"/>
    </xf>
    <xf numFmtId="0" fontId="50" fillId="7" borderId="4" xfId="0" applyFont="1" applyFill="1" applyBorder="1" applyAlignment="1">
      <alignment horizontal="left"/>
    </xf>
    <xf numFmtId="0" fontId="55" fillId="7" borderId="4" xfId="0" applyFont="1" applyFill="1" applyBorder="1" applyAlignment="1">
      <alignment horizontal="left"/>
    </xf>
    <xf numFmtId="0" fontId="21" fillId="7" borderId="3" xfId="0" applyFont="1" applyFill="1" applyBorder="1"/>
    <xf numFmtId="0" fontId="17" fillId="0" borderId="0" xfId="0" applyFont="1" applyAlignment="1">
      <alignment horizontal="center"/>
    </xf>
    <xf numFmtId="0" fontId="21" fillId="0" borderId="0" xfId="0" applyFont="1" applyBorder="1"/>
    <xf numFmtId="0" fontId="3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center"/>
    </xf>
    <xf numFmtId="0" fontId="34" fillId="7" borderId="32" xfId="0" applyFont="1" applyFill="1" applyBorder="1" applyAlignment="1">
      <alignment horizontal="center"/>
    </xf>
    <xf numFmtId="0" fontId="30" fillId="7" borderId="33" xfId="0" applyFont="1" applyFill="1" applyBorder="1" applyAlignment="1">
      <alignment horizontal="left"/>
    </xf>
    <xf numFmtId="0" fontId="21" fillId="7" borderId="34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17" fillId="7" borderId="34" xfId="0" applyFont="1" applyFill="1" applyBorder="1" applyAlignment="1">
      <alignment horizontal="center"/>
    </xf>
    <xf numFmtId="2" fontId="5" fillId="7" borderId="35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0" fontId="5" fillId="7" borderId="33" xfId="0" applyFont="1" applyFill="1" applyBorder="1"/>
    <xf numFmtId="0" fontId="5" fillId="0" borderId="0" xfId="0" applyFont="1" applyFill="1" applyBorder="1"/>
    <xf numFmtId="0" fontId="49" fillId="7" borderId="27" xfId="0" applyFont="1" applyFill="1" applyBorder="1" applyAlignment="1">
      <alignment horizontal="center"/>
    </xf>
    <xf numFmtId="0" fontId="48" fillId="7" borderId="36" xfId="0" applyFont="1" applyFill="1" applyBorder="1" applyAlignment="1">
      <alignment horizontal="left"/>
    </xf>
    <xf numFmtId="0" fontId="49" fillId="7" borderId="31" xfId="0" applyFont="1" applyFill="1" applyBorder="1" applyAlignment="1">
      <alignment horizontal="center"/>
    </xf>
    <xf numFmtId="0" fontId="35" fillId="7" borderId="31" xfId="0" applyFont="1" applyFill="1" applyBorder="1" applyAlignment="1">
      <alignment horizontal="center"/>
    </xf>
    <xf numFmtId="0" fontId="35" fillId="7" borderId="32" xfId="0" applyFont="1" applyFill="1" applyBorder="1" applyAlignment="1">
      <alignment horizontal="center"/>
    </xf>
    <xf numFmtId="0" fontId="31" fillId="7" borderId="33" xfId="0" applyFont="1" applyFill="1" applyBorder="1"/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6" fillId="7" borderId="27" xfId="0" applyFont="1" applyFill="1" applyBorder="1" applyAlignment="1">
      <alignment horizontal="center"/>
    </xf>
    <xf numFmtId="0" fontId="32" fillId="7" borderId="36" xfId="0" applyFont="1" applyFill="1" applyBorder="1" applyAlignment="1">
      <alignment horizontal="left"/>
    </xf>
    <xf numFmtId="0" fontId="36" fillId="7" borderId="31" xfId="0" applyFont="1" applyFill="1" applyBorder="1" applyAlignment="1">
      <alignment horizontal="center"/>
    </xf>
    <xf numFmtId="0" fontId="36" fillId="7" borderId="32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left"/>
    </xf>
    <xf numFmtId="0" fontId="21" fillId="7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37" fillId="7" borderId="27" xfId="0" applyFont="1" applyFill="1" applyBorder="1" applyAlignment="1">
      <alignment horizontal="center"/>
    </xf>
    <xf numFmtId="0" fontId="37" fillId="7" borderId="31" xfId="0" applyFont="1" applyFill="1" applyBorder="1" applyAlignment="1">
      <alignment horizontal="center"/>
    </xf>
    <xf numFmtId="0" fontId="37" fillId="7" borderId="32" xfId="0" applyFont="1" applyFill="1" applyBorder="1" applyAlignment="1">
      <alignment horizontal="center"/>
    </xf>
    <xf numFmtId="0" fontId="33" fillId="7" borderId="33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51" fillId="7" borderId="27" xfId="0" applyFont="1" applyFill="1" applyBorder="1" applyAlignment="1">
      <alignment horizontal="center"/>
    </xf>
    <xf numFmtId="0" fontId="51" fillId="7" borderId="31" xfId="0" applyFont="1" applyFill="1" applyBorder="1" applyAlignment="1">
      <alignment horizontal="center"/>
    </xf>
    <xf numFmtId="0" fontId="21" fillId="7" borderId="34" xfId="0" applyFont="1" applyFill="1" applyBorder="1"/>
    <xf numFmtId="0" fontId="17" fillId="7" borderId="34" xfId="0" applyFont="1" applyFill="1" applyBorder="1"/>
    <xf numFmtId="0" fontId="5" fillId="7" borderId="34" xfId="0" applyFont="1" applyFill="1" applyBorder="1"/>
    <xf numFmtId="0" fontId="92" fillId="6" borderId="36" xfId="0" applyFont="1" applyFill="1" applyBorder="1" applyAlignment="1">
      <alignment horizontal="center"/>
    </xf>
    <xf numFmtId="0" fontId="92" fillId="6" borderId="4" xfId="0" applyFont="1" applyFill="1" applyBorder="1" applyAlignment="1">
      <alignment horizontal="center"/>
    </xf>
    <xf numFmtId="0" fontId="93" fillId="0" borderId="3" xfId="0" applyFont="1" applyFill="1" applyBorder="1" applyAlignment="1">
      <alignment horizontal="center" vertical="center"/>
    </xf>
    <xf numFmtId="0" fontId="93" fillId="0" borderId="3" xfId="67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/>
    </xf>
    <xf numFmtId="0" fontId="93" fillId="0" borderId="3" xfId="62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/>
    </xf>
    <xf numFmtId="0" fontId="93" fillId="0" borderId="3" xfId="60" applyFont="1" applyFill="1" applyBorder="1" applyAlignment="1">
      <alignment horizontal="center" vertical="center"/>
    </xf>
    <xf numFmtId="0" fontId="93" fillId="0" borderId="3" xfId="54" applyFont="1" applyBorder="1" applyAlignment="1">
      <alignment horizontal="center"/>
    </xf>
    <xf numFmtId="0" fontId="93" fillId="0" borderId="3" xfId="0" applyFont="1" applyBorder="1" applyAlignment="1">
      <alignment horizontal="center" vertical="center"/>
    </xf>
    <xf numFmtId="0" fontId="93" fillId="0" borderId="3" xfId="0" applyFont="1" applyFill="1" applyBorder="1" applyAlignment="1">
      <alignment horizontal="center"/>
    </xf>
    <xf numFmtId="0" fontId="93" fillId="0" borderId="3" xfId="9" applyFont="1" applyFill="1" applyBorder="1" applyAlignment="1">
      <alignment horizontal="center"/>
    </xf>
    <xf numFmtId="0" fontId="93" fillId="0" borderId="3" xfId="60" applyFont="1" applyBorder="1" applyAlignment="1">
      <alignment horizontal="center" vertical="center"/>
    </xf>
    <xf numFmtId="0" fontId="93" fillId="6" borderId="3" xfId="0" applyFont="1" applyFill="1" applyBorder="1"/>
    <xf numFmtId="0" fontId="93" fillId="6" borderId="3" xfId="0" applyFont="1" applyFill="1" applyBorder="1" applyAlignment="1">
      <alignment horizontal="center"/>
    </xf>
    <xf numFmtId="0" fontId="93" fillId="0" borderId="5" xfId="0" applyFont="1" applyFill="1" applyBorder="1" applyAlignment="1">
      <alignment horizontal="center"/>
    </xf>
    <xf numFmtId="0" fontId="92" fillId="6" borderId="3" xfId="0" applyFont="1" applyFill="1" applyBorder="1" applyAlignment="1">
      <alignment horizontal="center"/>
    </xf>
    <xf numFmtId="0" fontId="92" fillId="0" borderId="3" xfId="0" applyFont="1" applyBorder="1" applyAlignment="1">
      <alignment horizontal="center"/>
    </xf>
    <xf numFmtId="0" fontId="92" fillId="0" borderId="3" xfId="9" applyFont="1" applyFill="1" applyBorder="1" applyAlignment="1">
      <alignment horizontal="center"/>
    </xf>
    <xf numFmtId="0" fontId="94" fillId="0" borderId="3" xfId="12" applyFont="1" applyFill="1" applyBorder="1" applyAlignment="1">
      <alignment horizontal="center" vertical="center"/>
    </xf>
    <xf numFmtId="0" fontId="92" fillId="0" borderId="5" xfId="0" applyFont="1" applyFill="1" applyBorder="1" applyAlignment="1">
      <alignment horizontal="center"/>
    </xf>
    <xf numFmtId="2" fontId="95" fillId="5" borderId="37" xfId="0" applyNumberFormat="1" applyFont="1" applyFill="1" applyBorder="1" applyAlignment="1">
      <alignment horizontal="center"/>
    </xf>
    <xf numFmtId="0" fontId="0" fillId="7" borderId="0" xfId="0" applyFill="1" applyAlignment="1"/>
    <xf numFmtId="0" fontId="27" fillId="7" borderId="3" xfId="0" applyFont="1" applyFill="1" applyBorder="1"/>
    <xf numFmtId="2" fontId="27" fillId="7" borderId="3" xfId="0" applyNumberFormat="1" applyFont="1" applyFill="1" applyBorder="1" applyAlignment="1">
      <alignment horizontal="center"/>
    </xf>
    <xf numFmtId="0" fontId="57" fillId="7" borderId="3" xfId="0" applyFont="1" applyFill="1" applyBorder="1"/>
    <xf numFmtId="2" fontId="41" fillId="7" borderId="3" xfId="0" applyNumberFormat="1" applyFont="1" applyFill="1" applyBorder="1" applyAlignment="1">
      <alignment horizontal="center"/>
    </xf>
    <xf numFmtId="0" fontId="43" fillId="7" borderId="3" xfId="0" applyFont="1" applyFill="1" applyBorder="1"/>
    <xf numFmtId="2" fontId="43" fillId="7" borderId="3" xfId="0" applyNumberFormat="1" applyFont="1" applyFill="1" applyBorder="1" applyAlignment="1">
      <alignment horizontal="center"/>
    </xf>
    <xf numFmtId="0" fontId="20" fillId="7" borderId="3" xfId="0" applyFont="1" applyFill="1" applyBorder="1"/>
    <xf numFmtId="2" fontId="20" fillId="7" borderId="3" xfId="0" applyNumberFormat="1" applyFont="1" applyFill="1" applyBorder="1" applyAlignment="1">
      <alignment horizontal="center"/>
    </xf>
    <xf numFmtId="0" fontId="42" fillId="7" borderId="3" xfId="0" applyFont="1" applyFill="1" applyBorder="1"/>
    <xf numFmtId="2" fontId="42" fillId="7" borderId="3" xfId="0" applyNumberFormat="1" applyFont="1" applyFill="1" applyBorder="1" applyAlignment="1">
      <alignment horizontal="center"/>
    </xf>
    <xf numFmtId="0" fontId="44" fillId="7" borderId="3" xfId="0" applyFont="1" applyFill="1" applyBorder="1"/>
    <xf numFmtId="2" fontId="44" fillId="7" borderId="3" xfId="0" applyNumberFormat="1" applyFont="1" applyFill="1" applyBorder="1" applyAlignment="1">
      <alignment horizontal="center"/>
    </xf>
    <xf numFmtId="0" fontId="67" fillId="15" borderId="0" xfId="1" applyFont="1" applyFill="1" applyAlignment="1" applyProtection="1">
      <alignment vertical="center"/>
    </xf>
    <xf numFmtId="0" fontId="67" fillId="15" borderId="38" xfId="1" applyFont="1" applyFill="1" applyBorder="1" applyAlignment="1" applyProtection="1">
      <alignment horizontal="center" vertical="center"/>
    </xf>
    <xf numFmtId="0" fontId="97" fillId="0" borderId="4" xfId="0" applyFont="1" applyFill="1" applyBorder="1" applyAlignment="1">
      <alignment horizontal="left"/>
    </xf>
    <xf numFmtId="0" fontId="17" fillId="0" borderId="3" xfId="9" applyFont="1" applyFill="1" applyBorder="1" applyAlignment="1">
      <alignment horizontal="center"/>
    </xf>
    <xf numFmtId="0" fontId="17" fillId="0" borderId="3" xfId="69" applyFont="1" applyBorder="1" applyAlignment="1">
      <alignment horizontal="center"/>
    </xf>
    <xf numFmtId="0" fontId="17" fillId="0" borderId="3" xfId="54" applyFont="1" applyBorder="1" applyAlignment="1">
      <alignment horizontal="center"/>
    </xf>
    <xf numFmtId="0" fontId="58" fillId="0" borderId="4" xfId="0" applyFont="1" applyFill="1" applyBorder="1"/>
    <xf numFmtId="0" fontId="50" fillId="7" borderId="3" xfId="0" applyFont="1" applyFill="1" applyBorder="1"/>
    <xf numFmtId="0" fontId="59" fillId="14" borderId="3" xfId="0" applyFont="1" applyFill="1" applyBorder="1"/>
    <xf numFmtId="2" fontId="5" fillId="5" borderId="37" xfId="0" applyNumberFormat="1" applyFont="1" applyFill="1" applyBorder="1" applyAlignment="1">
      <alignment horizontal="center"/>
    </xf>
    <xf numFmtId="2" fontId="5" fillId="5" borderId="30" xfId="0" applyNumberFormat="1" applyFont="1" applyFill="1" applyBorder="1" applyAlignment="1">
      <alignment horizontal="center"/>
    </xf>
    <xf numFmtId="0" fontId="3" fillId="5" borderId="37" xfId="0" applyFont="1" applyFill="1" applyBorder="1"/>
    <xf numFmtId="0" fontId="16" fillId="7" borderId="0" xfId="54" applyFont="1" applyFill="1" applyAlignment="1"/>
    <xf numFmtId="0" fontId="26" fillId="0" borderId="4" xfId="0" applyFont="1" applyBorder="1" applyAlignment="1">
      <alignment horizontal="left" vertical="center"/>
    </xf>
    <xf numFmtId="0" fontId="102" fillId="16" borderId="0" xfId="1" applyFont="1" applyFill="1" applyAlignment="1" applyProtection="1">
      <alignment horizontal="center" vertical="center"/>
    </xf>
    <xf numFmtId="0" fontId="17" fillId="0" borderId="3" xfId="73" applyFont="1" applyFill="1" applyBorder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5" fillId="0" borderId="5" xfId="0" applyFont="1" applyBorder="1" applyAlignment="1">
      <alignment horizontal="center" vertical="center"/>
    </xf>
    <xf numFmtId="0" fontId="104" fillId="0" borderId="5" xfId="0" applyFont="1" applyBorder="1" applyAlignment="1">
      <alignment horizontal="center" vertical="center"/>
    </xf>
    <xf numFmtId="177" fontId="105" fillId="0" borderId="5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7" xfId="0" applyFont="1" applyFill="1" applyBorder="1"/>
    <xf numFmtId="0" fontId="4" fillId="0" borderId="8" xfId="0" applyFont="1" applyFill="1" applyBorder="1"/>
    <xf numFmtId="0" fontId="0" fillId="0" borderId="0" xfId="0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8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0" fillId="8" borderId="0" xfId="0" applyFill="1"/>
    <xf numFmtId="0" fontId="62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17" fillId="0" borderId="13" xfId="0" applyFont="1" applyFill="1" applyBorder="1"/>
    <xf numFmtId="0" fontId="82" fillId="0" borderId="3" xfId="2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109" fillId="7" borderId="4" xfId="0" applyFont="1" applyFill="1" applyBorder="1"/>
    <xf numFmtId="0" fontId="17" fillId="0" borderId="3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0" fillId="7" borderId="4" xfId="0" applyFont="1" applyFill="1" applyBorder="1" applyAlignment="1">
      <alignment horizontal="left"/>
    </xf>
    <xf numFmtId="0" fontId="111" fillId="7" borderId="36" xfId="0" applyFont="1" applyFill="1" applyBorder="1" applyAlignment="1">
      <alignment horizontal="left"/>
    </xf>
    <xf numFmtId="0" fontId="112" fillId="7" borderId="36" xfId="0" applyFont="1" applyFill="1" applyBorder="1" applyAlignment="1">
      <alignment horizontal="left"/>
    </xf>
    <xf numFmtId="0" fontId="113" fillId="14" borderId="9" xfId="0" applyFont="1" applyFill="1" applyBorder="1" applyAlignment="1"/>
    <xf numFmtId="0" fontId="113" fillId="14" borderId="5" xfId="0" applyFont="1" applyFill="1" applyBorder="1" applyAlignment="1">
      <alignment horizontal="left"/>
    </xf>
    <xf numFmtId="0" fontId="113" fillId="14" borderId="3" xfId="0" applyFont="1" applyFill="1" applyBorder="1" applyAlignment="1">
      <alignment horizontal="left"/>
    </xf>
    <xf numFmtId="0" fontId="113" fillId="14" borderId="3" xfId="0" applyFont="1" applyFill="1" applyBorder="1" applyAlignment="1"/>
    <xf numFmtId="0" fontId="114" fillId="14" borderId="3" xfId="0" applyFont="1" applyFill="1" applyBorder="1" applyAlignment="1">
      <alignment horizontal="left"/>
    </xf>
    <xf numFmtId="0" fontId="114" fillId="14" borderId="9" xfId="0" applyFont="1" applyFill="1" applyBorder="1" applyAlignment="1"/>
    <xf numFmtId="0" fontId="114" fillId="14" borderId="3" xfId="0" applyFont="1" applyFill="1" applyBorder="1"/>
    <xf numFmtId="0" fontId="114" fillId="14" borderId="3" xfId="0" applyFont="1" applyFill="1" applyBorder="1" applyAlignment="1"/>
    <xf numFmtId="0" fontId="114" fillId="14" borderId="6" xfId="0" applyFont="1" applyFill="1" applyBorder="1" applyAlignment="1"/>
    <xf numFmtId="0" fontId="115" fillId="14" borderId="3" xfId="0" applyFont="1" applyFill="1" applyBorder="1" applyAlignment="1">
      <alignment horizontal="left"/>
    </xf>
    <xf numFmtId="0" fontId="115" fillId="14" borderId="3" xfId="0" applyFont="1" applyFill="1" applyBorder="1" applyAlignment="1">
      <alignment horizontal="left" vertical="center"/>
    </xf>
    <xf numFmtId="0" fontId="115" fillId="14" borderId="9" xfId="0" applyFont="1" applyFill="1" applyBorder="1" applyAlignment="1"/>
    <xf numFmtId="0" fontId="23" fillId="0" borderId="0" xfId="0" applyFont="1" applyFill="1"/>
    <xf numFmtId="0" fontId="23" fillId="0" borderId="7" xfId="0" applyFont="1" applyFill="1" applyBorder="1"/>
    <xf numFmtId="0" fontId="104" fillId="0" borderId="5" xfId="0" applyFont="1" applyBorder="1" applyAlignment="1">
      <alignment horizontal="center"/>
    </xf>
    <xf numFmtId="0" fontId="23" fillId="0" borderId="8" xfId="0" applyFont="1" applyFill="1" applyBorder="1"/>
    <xf numFmtId="0" fontId="23" fillId="0" borderId="0" xfId="54" applyFont="1" applyFill="1"/>
    <xf numFmtId="0" fontId="104" fillId="0" borderId="3" xfId="0" applyFont="1" applyBorder="1" applyAlignment="1">
      <alignment horizontal="center"/>
    </xf>
    <xf numFmtId="0" fontId="104" fillId="0" borderId="3" xfId="0" applyFont="1" applyBorder="1" applyAlignment="1">
      <alignment horizontal="center" vertical="center"/>
    </xf>
    <xf numFmtId="0" fontId="17" fillId="0" borderId="3" xfId="63" applyFont="1" applyFill="1" applyBorder="1" applyAlignment="1">
      <alignment horizontal="center" vertical="center"/>
    </xf>
    <xf numFmtId="0" fontId="118" fillId="0" borderId="3" xfId="63" applyFont="1" applyFill="1" applyBorder="1" applyAlignment="1">
      <alignment horizontal="center" vertical="center"/>
    </xf>
    <xf numFmtId="0" fontId="119" fillId="0" borderId="3" xfId="63" applyFont="1" applyFill="1" applyBorder="1" applyAlignment="1">
      <alignment horizontal="center" vertical="center"/>
    </xf>
    <xf numFmtId="0" fontId="120" fillId="0" borderId="3" xfId="63" applyFont="1" applyFill="1" applyBorder="1" applyAlignment="1">
      <alignment horizontal="center" vertical="center"/>
    </xf>
    <xf numFmtId="0" fontId="121" fillId="0" borderId="3" xfId="62" applyFont="1" applyFill="1" applyBorder="1" applyAlignment="1">
      <alignment horizontal="center" vertical="center"/>
    </xf>
    <xf numFmtId="0" fontId="4" fillId="0" borderId="3" xfId="63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5" fillId="0" borderId="5" xfId="0" applyFont="1" applyBorder="1" applyAlignment="1">
      <alignment horizontal="center"/>
    </xf>
    <xf numFmtId="0" fontId="4" fillId="0" borderId="5" xfId="63" applyFont="1" applyBorder="1" applyAlignment="1">
      <alignment vertical="center"/>
    </xf>
    <xf numFmtId="0" fontId="17" fillId="0" borderId="3" xfId="67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3" xfId="60" applyFont="1" applyFill="1" applyBorder="1" applyAlignment="1">
      <alignment horizontal="center" vertical="center"/>
    </xf>
    <xf numFmtId="0" fontId="17" fillId="0" borderId="3" xfId="12" applyFont="1" applyFill="1" applyBorder="1" applyAlignment="1">
      <alignment horizontal="center" vertical="center"/>
    </xf>
    <xf numFmtId="0" fontId="82" fillId="0" borderId="3" xfId="3" applyFont="1" applyFill="1" applyBorder="1" applyAlignment="1">
      <alignment horizontal="center" vertical="center"/>
    </xf>
    <xf numFmtId="0" fontId="79" fillId="0" borderId="5" xfId="3" applyFont="1" applyFill="1" applyBorder="1" applyAlignment="1">
      <alignment vertical="center"/>
    </xf>
    <xf numFmtId="177" fontId="104" fillId="0" borderId="3" xfId="0" applyNumberFormat="1" applyFont="1" applyBorder="1" applyAlignment="1">
      <alignment horizontal="center" vertical="center"/>
    </xf>
    <xf numFmtId="0" fontId="116" fillId="0" borderId="3" xfId="0" applyFont="1" applyBorder="1" applyAlignment="1">
      <alignment horizontal="center" vertical="center"/>
    </xf>
    <xf numFmtId="177" fontId="116" fillId="0" borderId="5" xfId="0" applyNumberFormat="1" applyFont="1" applyBorder="1" applyAlignment="1">
      <alignment horizontal="center" vertical="center"/>
    </xf>
    <xf numFmtId="0" fontId="116" fillId="0" borderId="3" xfId="3" applyFont="1" applyFill="1" applyBorder="1" applyAlignment="1">
      <alignment vertical="center"/>
    </xf>
    <xf numFmtId="0" fontId="79" fillId="0" borderId="3" xfId="3" applyFont="1" applyFill="1" applyBorder="1" applyAlignment="1">
      <alignment vertical="center"/>
    </xf>
    <xf numFmtId="0" fontId="103" fillId="0" borderId="3" xfId="3" applyFont="1" applyFill="1" applyBorder="1" applyAlignment="1">
      <alignment vertical="center"/>
    </xf>
    <xf numFmtId="0" fontId="104" fillId="0" borderId="3" xfId="3" applyFont="1" applyFill="1" applyBorder="1" applyAlignment="1">
      <alignment vertical="center"/>
    </xf>
    <xf numFmtId="0" fontId="6" fillId="14" borderId="5" xfId="0" applyFont="1" applyFill="1" applyBorder="1" applyAlignment="1">
      <alignment horizontal="left"/>
    </xf>
    <xf numFmtId="0" fontId="66" fillId="14" borderId="3" xfId="0" applyFont="1" applyFill="1" applyBorder="1" applyAlignment="1">
      <alignment horizontal="left"/>
    </xf>
    <xf numFmtId="0" fontId="17" fillId="0" borderId="3" xfId="4" applyFont="1" applyFill="1" applyBorder="1" applyAlignment="1">
      <alignment horizontal="center" vertical="center"/>
    </xf>
    <xf numFmtId="177" fontId="83" fillId="0" borderId="5" xfId="0" applyNumberFormat="1" applyFont="1" applyBorder="1" applyAlignment="1">
      <alignment horizontal="center" vertical="center"/>
    </xf>
    <xf numFmtId="0" fontId="61" fillId="0" borderId="3" xfId="3" applyFont="1" applyFill="1" applyBorder="1" applyAlignment="1">
      <alignment vertical="center"/>
    </xf>
    <xf numFmtId="0" fontId="61" fillId="0" borderId="3" xfId="0" applyFont="1" applyBorder="1" applyAlignment="1">
      <alignment horizontal="center" vertical="center"/>
    </xf>
    <xf numFmtId="0" fontId="79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177" fontId="79" fillId="0" borderId="5" xfId="0" applyNumberFormat="1" applyFont="1" applyBorder="1" applyAlignment="1">
      <alignment horizontal="center" vertical="center"/>
    </xf>
    <xf numFmtId="0" fontId="61" fillId="0" borderId="5" xfId="3" applyFont="1" applyFill="1" applyBorder="1" applyAlignment="1">
      <alignment vertical="center"/>
    </xf>
    <xf numFmtId="0" fontId="64" fillId="0" borderId="5" xfId="0" applyFont="1" applyBorder="1" applyAlignment="1">
      <alignment vertical="center"/>
    </xf>
    <xf numFmtId="0" fontId="83" fillId="0" borderId="5" xfId="3" applyFont="1" applyFill="1" applyBorder="1" applyAlignment="1">
      <alignment vertical="center"/>
    </xf>
    <xf numFmtId="0" fontId="61" fillId="0" borderId="5" xfId="0" applyFont="1" applyBorder="1"/>
    <xf numFmtId="0" fontId="62" fillId="0" borderId="5" xfId="0" applyFont="1" applyBorder="1" applyAlignment="1">
      <alignment vertical="center"/>
    </xf>
    <xf numFmtId="0" fontId="83" fillId="0" borderId="5" xfId="0" applyFont="1" applyBorder="1" applyAlignment="1">
      <alignment vertical="center"/>
    </xf>
    <xf numFmtId="0" fontId="62" fillId="0" borderId="5" xfId="3" applyFont="1" applyFill="1" applyBorder="1" applyAlignment="1">
      <alignment vertical="center"/>
    </xf>
    <xf numFmtId="0" fontId="83" fillId="0" borderId="5" xfId="0" applyFont="1" applyBorder="1"/>
    <xf numFmtId="0" fontId="61" fillId="0" borderId="5" xfId="0" applyFont="1" applyBorder="1" applyAlignment="1">
      <alignment horizontal="center"/>
    </xf>
    <xf numFmtId="0" fontId="128" fillId="0" borderId="5" xfId="0" applyFont="1" applyBorder="1" applyAlignment="1">
      <alignment vertical="center"/>
    </xf>
    <xf numFmtId="0" fontId="17" fillId="0" borderId="3" xfId="5" applyFont="1" applyFill="1" applyBorder="1" applyAlignment="1">
      <alignment horizontal="center"/>
    </xf>
    <xf numFmtId="0" fontId="130" fillId="0" borderId="5" xfId="0" applyFont="1" applyBorder="1"/>
    <xf numFmtId="0" fontId="131" fillId="0" borderId="5" xfId="0" applyFont="1" applyBorder="1"/>
    <xf numFmtId="0" fontId="130" fillId="0" borderId="5" xfId="0" applyFont="1" applyBorder="1" applyAlignment="1">
      <alignment horizontal="center"/>
    </xf>
    <xf numFmtId="0" fontId="131" fillId="0" borderId="5" xfId="0" applyFont="1" applyBorder="1" applyAlignment="1">
      <alignment horizontal="center"/>
    </xf>
    <xf numFmtId="177" fontId="130" fillId="0" borderId="5" xfId="0" applyNumberFormat="1" applyFont="1" applyBorder="1" applyAlignment="1">
      <alignment horizontal="center" vertical="center"/>
    </xf>
    <xf numFmtId="177" fontId="131" fillId="0" borderId="5" xfId="0" applyNumberFormat="1" applyFont="1" applyBorder="1" applyAlignment="1">
      <alignment horizontal="center" vertical="center"/>
    </xf>
    <xf numFmtId="177" fontId="128" fillId="0" borderId="5" xfId="0" applyNumberFormat="1" applyFont="1" applyBorder="1" applyAlignment="1">
      <alignment horizontal="center" vertical="center"/>
    </xf>
    <xf numFmtId="177" fontId="132" fillId="0" borderId="5" xfId="0" applyNumberFormat="1" applyFont="1" applyBorder="1" applyAlignment="1">
      <alignment horizontal="center" vertical="center"/>
    </xf>
    <xf numFmtId="177" fontId="133" fillId="0" borderId="3" xfId="0" applyNumberFormat="1" applyFont="1" applyBorder="1" applyAlignment="1">
      <alignment horizontal="center" vertical="center"/>
    </xf>
    <xf numFmtId="0" fontId="23" fillId="0" borderId="5" xfId="54" applyFont="1" applyFill="1" applyBorder="1"/>
    <xf numFmtId="2" fontId="6" fillId="0" borderId="9" xfId="0" applyNumberFormat="1" applyFont="1" applyFill="1" applyBorder="1" applyAlignment="1">
      <alignment horizontal="center"/>
    </xf>
    <xf numFmtId="170" fontId="6" fillId="0" borderId="9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left"/>
    </xf>
    <xf numFmtId="0" fontId="115" fillId="14" borderId="6" xfId="0" applyFont="1" applyFill="1" applyBorder="1" applyAlignment="1"/>
    <xf numFmtId="0" fontId="131" fillId="0" borderId="5" xfId="0" applyFont="1" applyBorder="1" applyAlignment="1">
      <alignment vertical="center"/>
    </xf>
    <xf numFmtId="0" fontId="82" fillId="0" borderId="3" xfId="6" applyFont="1" applyFill="1" applyBorder="1" applyAlignment="1">
      <alignment horizontal="center" vertical="center"/>
    </xf>
    <xf numFmtId="0" fontId="17" fillId="0" borderId="3" xfId="6" applyFont="1" applyFill="1" applyBorder="1" applyAlignment="1">
      <alignment horizontal="center" vertical="center"/>
    </xf>
    <xf numFmtId="0" fontId="137" fillId="0" borderId="3" xfId="6" applyFont="1" applyFill="1" applyBorder="1" applyAlignment="1">
      <alignment horizontal="center" vertical="center"/>
    </xf>
    <xf numFmtId="0" fontId="138" fillId="0" borderId="3" xfId="6" applyFont="1" applyFill="1" applyBorder="1" applyAlignment="1">
      <alignment horizontal="center" vertical="center"/>
    </xf>
    <xf numFmtId="0" fontId="36" fillId="7" borderId="39" xfId="0" applyFont="1" applyFill="1" applyBorder="1" applyAlignment="1">
      <alignment horizontal="center"/>
    </xf>
    <xf numFmtId="0" fontId="32" fillId="7" borderId="18" xfId="0" applyFont="1" applyFill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92" fillId="6" borderId="18" xfId="0" applyFont="1" applyFill="1" applyBorder="1" applyAlignment="1">
      <alignment horizontal="center"/>
    </xf>
    <xf numFmtId="0" fontId="92" fillId="0" borderId="40" xfId="0" applyFont="1" applyBorder="1" applyAlignment="1">
      <alignment horizontal="center"/>
    </xf>
    <xf numFmtId="0" fontId="92" fillId="6" borderId="40" xfId="0" applyFont="1" applyFill="1" applyBorder="1" applyAlignment="1">
      <alignment horizontal="center"/>
    </xf>
    <xf numFmtId="0" fontId="92" fillId="0" borderId="40" xfId="0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0" fontId="138" fillId="0" borderId="40" xfId="6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2" fontId="5" fillId="5" borderId="41" xfId="0" applyNumberFormat="1" applyFont="1" applyFill="1" applyBorder="1" applyAlignment="1">
      <alignment horizontal="center"/>
    </xf>
    <xf numFmtId="0" fontId="29" fillId="9" borderId="4" xfId="0" applyFont="1" applyFill="1" applyBorder="1" applyAlignment="1">
      <alignment horizontal="left"/>
    </xf>
    <xf numFmtId="0" fontId="136" fillId="0" borderId="3" xfId="6" applyFont="1" applyFill="1" applyBorder="1" applyAlignment="1">
      <alignment horizontal="center" vertical="center"/>
    </xf>
    <xf numFmtId="0" fontId="139" fillId="0" borderId="3" xfId="6" applyFont="1" applyFill="1" applyBorder="1" applyAlignment="1">
      <alignment horizontal="center" vertical="center"/>
    </xf>
    <xf numFmtId="0" fontId="132" fillId="0" borderId="5" xfId="0" applyFont="1" applyBorder="1" applyAlignment="1">
      <alignment vertical="center"/>
    </xf>
    <xf numFmtId="0" fontId="130" fillId="0" borderId="5" xfId="0" applyFont="1" applyBorder="1" applyAlignment="1">
      <alignment vertical="center"/>
    </xf>
    <xf numFmtId="0" fontId="133" fillId="0" borderId="5" xfId="0" applyFont="1" applyBorder="1"/>
    <xf numFmtId="0" fontId="82" fillId="0" borderId="3" xfId="0" applyFont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3" xfId="8" applyFont="1" applyBorder="1" applyAlignment="1">
      <alignment horizontal="center" vertical="center"/>
    </xf>
    <xf numFmtId="0" fontId="78" fillId="0" borderId="3" xfId="0" applyFont="1" applyFill="1" applyBorder="1" applyAlignment="1">
      <alignment horizontal="left"/>
    </xf>
    <xf numFmtId="0" fontId="141" fillId="0" borderId="3" xfId="7" applyFont="1" applyBorder="1" applyAlignment="1">
      <alignment horizontal="center" vertical="center"/>
    </xf>
    <xf numFmtId="177" fontId="81" fillId="0" borderId="42" xfId="0" applyNumberFormat="1" applyFont="1" applyFill="1" applyBorder="1" applyAlignment="1">
      <alignment horizontal="center" vertical="center"/>
    </xf>
    <xf numFmtId="177" fontId="81" fillId="0" borderId="43" xfId="0" applyNumberFormat="1" applyFont="1" applyFill="1" applyBorder="1" applyAlignment="1">
      <alignment horizontal="center" vertical="center"/>
    </xf>
    <xf numFmtId="177" fontId="81" fillId="0" borderId="44" xfId="0" applyNumberFormat="1" applyFont="1" applyFill="1" applyBorder="1" applyAlignment="1">
      <alignment horizontal="center" vertical="center"/>
    </xf>
    <xf numFmtId="177" fontId="81" fillId="0" borderId="45" xfId="0" applyNumberFormat="1" applyFont="1" applyFill="1" applyBorder="1" applyAlignment="1">
      <alignment horizontal="center" vertical="center"/>
    </xf>
    <xf numFmtId="177" fontId="81" fillId="0" borderId="46" xfId="0" applyNumberFormat="1" applyFont="1" applyFill="1" applyBorder="1" applyAlignment="1">
      <alignment horizontal="center" vertical="center"/>
    </xf>
    <xf numFmtId="0" fontId="122" fillId="0" borderId="47" xfId="0" applyFont="1" applyFill="1" applyBorder="1" applyAlignment="1">
      <alignment vertical="center" textRotation="90"/>
    </xf>
    <xf numFmtId="0" fontId="129" fillId="0" borderId="47" xfId="0" applyFont="1" applyFill="1" applyBorder="1" applyAlignment="1">
      <alignment vertical="center" textRotation="90"/>
    </xf>
    <xf numFmtId="177" fontId="140" fillId="0" borderId="48" xfId="0" applyNumberFormat="1" applyFont="1" applyBorder="1" applyAlignment="1">
      <alignment horizontal="right" vertical="center"/>
    </xf>
    <xf numFmtId="0" fontId="140" fillId="0" borderId="49" xfId="0" applyFont="1" applyFill="1" applyBorder="1" applyAlignment="1">
      <alignment vertical="center"/>
    </xf>
    <xf numFmtId="1" fontId="2" fillId="0" borderId="50" xfId="0" applyNumberFormat="1" applyFont="1" applyFill="1" applyBorder="1" applyAlignment="1">
      <alignment horizontal="center"/>
    </xf>
    <xf numFmtId="1" fontId="2" fillId="0" borderId="51" xfId="0" applyNumberFormat="1" applyFont="1" applyFill="1" applyBorder="1" applyAlignment="1">
      <alignment horizontal="center"/>
    </xf>
    <xf numFmtId="1" fontId="2" fillId="0" borderId="52" xfId="0" applyNumberFormat="1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/>
    </xf>
    <xf numFmtId="1" fontId="2" fillId="0" borderId="56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2" fillId="0" borderId="60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1" fontId="2" fillId="0" borderId="61" xfId="0" applyNumberFormat="1" applyFont="1" applyFill="1" applyBorder="1" applyAlignment="1">
      <alignment horizontal="center"/>
    </xf>
    <xf numFmtId="1" fontId="2" fillId="0" borderId="62" xfId="0" applyNumberFormat="1" applyFont="1" applyFill="1" applyBorder="1" applyAlignment="1">
      <alignment horizontal="center"/>
    </xf>
    <xf numFmtId="1" fontId="2" fillId="0" borderId="63" xfId="0" applyNumberFormat="1" applyFont="1" applyFill="1" applyBorder="1" applyAlignment="1">
      <alignment horizontal="center"/>
    </xf>
    <xf numFmtId="1" fontId="2" fillId="0" borderId="64" xfId="0" applyNumberFormat="1" applyFont="1" applyFill="1" applyBorder="1" applyAlignment="1">
      <alignment horizontal="center"/>
    </xf>
    <xf numFmtId="1" fontId="101" fillId="0" borderId="5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80" fillId="0" borderId="53" xfId="0" applyNumberFormat="1" applyFont="1" applyFill="1" applyBorder="1" applyAlignment="1">
      <alignment horizontal="center"/>
    </xf>
    <xf numFmtId="1" fontId="2" fillId="0" borderId="65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0" borderId="67" xfId="0" applyNumberFormat="1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/>
    </xf>
    <xf numFmtId="1" fontId="2" fillId="0" borderId="69" xfId="0" applyNumberFormat="1" applyFont="1" applyFill="1" applyBorder="1" applyAlignment="1">
      <alignment horizontal="center"/>
    </xf>
    <xf numFmtId="1" fontId="2" fillId="0" borderId="70" xfId="0" applyNumberFormat="1" applyFont="1" applyFill="1" applyBorder="1" applyAlignment="1">
      <alignment horizontal="center"/>
    </xf>
    <xf numFmtId="1" fontId="2" fillId="0" borderId="71" xfId="0" applyNumberFormat="1" applyFont="1" applyFill="1" applyBorder="1" applyAlignment="1">
      <alignment horizontal="center"/>
    </xf>
    <xf numFmtId="1" fontId="2" fillId="0" borderId="72" xfId="0" applyNumberFormat="1" applyFont="1" applyFill="1" applyBorder="1" applyAlignment="1">
      <alignment horizontal="center"/>
    </xf>
    <xf numFmtId="0" fontId="144" fillId="0" borderId="5" xfId="0" applyFont="1" applyBorder="1" applyAlignment="1">
      <alignment horizontal="left" vertical="center"/>
    </xf>
    <xf numFmtId="0" fontId="145" fillId="0" borderId="5" xfId="0" applyFont="1" applyBorder="1" applyAlignment="1">
      <alignment horizontal="left" vertical="center"/>
    </xf>
    <xf numFmtId="0" fontId="146" fillId="0" borderId="5" xfId="0" applyFont="1" applyBorder="1" applyAlignment="1">
      <alignment horizontal="left" vertical="center"/>
    </xf>
    <xf numFmtId="0" fontId="145" fillId="0" borderId="5" xfId="0" applyFont="1" applyBorder="1" applyAlignment="1">
      <alignment horizontal="center"/>
    </xf>
    <xf numFmtId="177" fontId="146" fillId="0" borderId="5" xfId="0" applyNumberFormat="1" applyFont="1" applyBorder="1" applyAlignment="1">
      <alignment horizontal="center" vertical="center"/>
    </xf>
    <xf numFmtId="0" fontId="143" fillId="0" borderId="47" xfId="0" applyFont="1" applyFill="1" applyBorder="1" applyAlignment="1">
      <alignment horizontal="center" vertical="center"/>
    </xf>
    <xf numFmtId="0" fontId="117" fillId="14" borderId="3" xfId="0" applyFont="1" applyFill="1" applyBorder="1" applyAlignment="1">
      <alignment horizontal="left"/>
    </xf>
    <xf numFmtId="1" fontId="2" fillId="0" borderId="73" xfId="0" applyNumberFormat="1" applyFont="1" applyFill="1" applyBorder="1" applyAlignment="1">
      <alignment horizontal="center"/>
    </xf>
    <xf numFmtId="1" fontId="2" fillId="0" borderId="74" xfId="0" applyNumberFormat="1" applyFont="1" applyFill="1" applyBorder="1" applyAlignment="1">
      <alignment horizontal="center"/>
    </xf>
    <xf numFmtId="1" fontId="2" fillId="0" borderId="75" xfId="0" applyNumberFormat="1" applyFont="1" applyFill="1" applyBorder="1" applyAlignment="1">
      <alignment horizontal="center"/>
    </xf>
    <xf numFmtId="1" fontId="2" fillId="0" borderId="76" xfId="0" applyNumberFormat="1" applyFont="1" applyFill="1" applyBorder="1" applyAlignment="1">
      <alignment horizontal="center"/>
    </xf>
    <xf numFmtId="1" fontId="2" fillId="0" borderId="77" xfId="0" applyNumberFormat="1" applyFont="1" applyFill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0" fontId="4" fillId="0" borderId="5" xfId="3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" xfId="3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3" fillId="0" borderId="47" xfId="54" applyFont="1" applyFill="1" applyBorder="1" applyAlignment="1"/>
    <xf numFmtId="0" fontId="4" fillId="0" borderId="3" xfId="3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0" fontId="17" fillId="0" borderId="8" xfId="54" applyFont="1" applyFill="1" applyBorder="1"/>
    <xf numFmtId="0" fontId="4" fillId="0" borderId="0" xfId="54" applyFont="1" applyFill="1"/>
    <xf numFmtId="0" fontId="4" fillId="0" borderId="8" xfId="54" applyFont="1" applyFill="1" applyBorder="1"/>
    <xf numFmtId="1" fontId="5" fillId="7" borderId="34" xfId="0" applyNumberFormat="1" applyFont="1" applyFill="1" applyBorder="1" applyAlignment="1">
      <alignment horizontal="center"/>
    </xf>
    <xf numFmtId="3" fontId="147" fillId="0" borderId="47" xfId="0" applyNumberFormat="1" applyFont="1" applyFill="1" applyBorder="1" applyAlignment="1">
      <alignment vertical="center" wrapText="1"/>
    </xf>
    <xf numFmtId="0" fontId="143" fillId="0" borderId="78" xfId="0" applyFont="1" applyFill="1" applyBorder="1" applyAlignment="1">
      <alignment horizontal="left" vertical="center"/>
    </xf>
    <xf numFmtId="0" fontId="143" fillId="0" borderId="49" xfId="0" applyFont="1" applyFill="1" applyBorder="1" applyAlignment="1">
      <alignment horizontal="center" vertical="center"/>
    </xf>
    <xf numFmtId="0" fontId="148" fillId="0" borderId="47" xfId="0" applyFont="1" applyFill="1" applyBorder="1" applyAlignment="1">
      <alignment horizontal="center" vertical="center"/>
    </xf>
    <xf numFmtId="0" fontId="143" fillId="0" borderId="7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0" fillId="27" borderId="0" xfId="0" applyFill="1" applyAlignment="1">
      <alignment vertical="center"/>
    </xf>
    <xf numFmtId="0" fontId="153" fillId="0" borderId="80" xfId="0" applyFont="1" applyBorder="1" applyAlignment="1">
      <alignment horizontal="center" vertical="center"/>
    </xf>
    <xf numFmtId="177" fontId="81" fillId="0" borderId="17" xfId="0" applyNumberFormat="1" applyFont="1" applyFill="1" applyBorder="1" applyAlignment="1">
      <alignment horizontal="center" vertical="center"/>
    </xf>
    <xf numFmtId="164" fontId="81" fillId="0" borderId="17" xfId="0" applyNumberFormat="1" applyFont="1" applyFill="1" applyBorder="1" applyAlignment="1">
      <alignment horizontal="center" vertical="center"/>
    </xf>
    <xf numFmtId="177" fontId="81" fillId="0" borderId="81" xfId="0" applyNumberFormat="1" applyFont="1" applyFill="1" applyBorder="1" applyAlignment="1">
      <alignment horizontal="center" vertical="center"/>
    </xf>
    <xf numFmtId="177" fontId="81" fillId="0" borderId="82" xfId="0" applyNumberFormat="1" applyFont="1" applyFill="1" applyBorder="1" applyAlignment="1">
      <alignment horizontal="center" vertical="center"/>
    </xf>
    <xf numFmtId="177" fontId="81" fillId="0" borderId="16" xfId="0" applyNumberFormat="1" applyFont="1" applyFill="1" applyBorder="1" applyAlignment="1">
      <alignment horizontal="center" vertical="center"/>
    </xf>
    <xf numFmtId="177" fontId="81" fillId="0" borderId="83" xfId="0" applyNumberFormat="1" applyFont="1" applyFill="1" applyBorder="1" applyAlignment="1">
      <alignment horizontal="center" vertical="center"/>
    </xf>
    <xf numFmtId="177" fontId="81" fillId="0" borderId="38" xfId="0" applyNumberFormat="1" applyFont="1" applyFill="1" applyBorder="1" applyAlignment="1">
      <alignment horizontal="center" vertical="center"/>
    </xf>
    <xf numFmtId="177" fontId="81" fillId="0" borderId="84" xfId="0" applyNumberFormat="1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164" fontId="81" fillId="0" borderId="81" xfId="0" applyNumberFormat="1" applyFont="1" applyFill="1" applyBorder="1" applyAlignment="1">
      <alignment horizontal="center" vertical="center"/>
    </xf>
    <xf numFmtId="177" fontId="81" fillId="0" borderId="85" xfId="0" applyNumberFormat="1" applyFont="1" applyFill="1" applyBorder="1" applyAlignment="1">
      <alignment horizontal="center" vertical="center"/>
    </xf>
    <xf numFmtId="177" fontId="81" fillId="0" borderId="86" xfId="0" applyNumberFormat="1" applyFont="1" applyFill="1" applyBorder="1" applyAlignment="1">
      <alignment horizontal="center" vertical="center"/>
    </xf>
    <xf numFmtId="164" fontId="81" fillId="0" borderId="84" xfId="0" applyNumberFormat="1" applyFont="1" applyFill="1" applyBorder="1" applyAlignment="1">
      <alignment horizontal="center" vertical="center"/>
    </xf>
    <xf numFmtId="177" fontId="81" fillId="0" borderId="87" xfId="0" applyNumberFormat="1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vertical="center" textRotation="90"/>
    </xf>
    <xf numFmtId="0" fontId="82" fillId="0" borderId="38" xfId="0" applyFont="1" applyFill="1" applyBorder="1" applyAlignment="1">
      <alignment horizontal="center" vertical="center"/>
    </xf>
    <xf numFmtId="177" fontId="81" fillId="0" borderId="88" xfId="0" applyNumberFormat="1" applyFont="1" applyFill="1" applyBorder="1" applyAlignment="1">
      <alignment horizontal="center" vertical="center"/>
    </xf>
    <xf numFmtId="164" fontId="81" fillId="0" borderId="88" xfId="0" applyNumberFormat="1" applyFont="1" applyFill="1" applyBorder="1" applyAlignment="1">
      <alignment horizontal="center" vertical="center"/>
    </xf>
    <xf numFmtId="177" fontId="81" fillId="0" borderId="89" xfId="0" applyNumberFormat="1" applyFont="1" applyFill="1" applyBorder="1" applyAlignment="1">
      <alignment horizontal="center" vertical="center"/>
    </xf>
    <xf numFmtId="177" fontId="81" fillId="0" borderId="90" xfId="0" applyNumberFormat="1" applyFont="1" applyFill="1" applyBorder="1" applyAlignment="1">
      <alignment horizontal="center" vertical="center"/>
    </xf>
    <xf numFmtId="0" fontId="82" fillId="0" borderId="47" xfId="0" applyFont="1" applyFill="1" applyBorder="1" applyAlignment="1">
      <alignment horizontal="center" vertical="center"/>
    </xf>
    <xf numFmtId="0" fontId="81" fillId="0" borderId="47" xfId="0" applyFont="1" applyFill="1" applyBorder="1" applyAlignment="1">
      <alignment horizontal="center" vertical="center"/>
    </xf>
    <xf numFmtId="177" fontId="81" fillId="0" borderId="47" xfId="0" applyNumberFormat="1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vertical="center" textRotation="90"/>
    </xf>
    <xf numFmtId="0" fontId="106" fillId="0" borderId="47" xfId="0" applyFont="1" applyFill="1" applyBorder="1" applyAlignment="1">
      <alignment vertical="center" textRotation="90"/>
    </xf>
    <xf numFmtId="164" fontId="81" fillId="0" borderId="47" xfId="0" applyNumberFormat="1" applyFont="1" applyFill="1" applyBorder="1" applyAlignment="1">
      <alignment horizontal="center" vertical="center"/>
    </xf>
    <xf numFmtId="3" fontId="147" fillId="0" borderId="47" xfId="0" applyNumberFormat="1" applyFont="1" applyBorder="1" applyAlignment="1">
      <alignment vertical="center" wrapText="1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center" vertical="center"/>
    </xf>
    <xf numFmtId="0" fontId="0" fillId="28" borderId="0" xfId="0" applyFill="1"/>
    <xf numFmtId="0" fontId="67" fillId="28" borderId="12" xfId="0" applyFont="1" applyFill="1" applyBorder="1" applyAlignment="1">
      <alignment vertical="center" textRotation="90"/>
    </xf>
    <xf numFmtId="0" fontId="122" fillId="28" borderId="12" xfId="0" applyFont="1" applyFill="1" applyBorder="1" applyAlignment="1">
      <alignment vertical="center" textRotation="90"/>
    </xf>
    <xf numFmtId="0" fontId="82" fillId="28" borderId="12" xfId="0" applyFont="1" applyFill="1" applyBorder="1" applyAlignment="1">
      <alignment horizontal="center" vertical="center"/>
    </xf>
    <xf numFmtId="0" fontId="0" fillId="28" borderId="0" xfId="0" applyFill="1" applyAlignment="1">
      <alignment horizontal="center"/>
    </xf>
    <xf numFmtId="177" fontId="81" fillId="28" borderId="12" xfId="0" applyNumberFormat="1" applyFont="1" applyFill="1" applyBorder="1" applyAlignment="1">
      <alignment horizontal="center" vertical="center"/>
    </xf>
    <xf numFmtId="3" fontId="149" fillId="28" borderId="12" xfId="0" applyNumberFormat="1" applyFont="1" applyFill="1" applyBorder="1" applyAlignment="1">
      <alignment vertical="center" wrapText="1"/>
    </xf>
    <xf numFmtId="177" fontId="81" fillId="28" borderId="12" xfId="0" applyNumberFormat="1" applyFont="1" applyFill="1" applyBorder="1" applyAlignment="1">
      <alignment horizontal="right" vertical="center"/>
    </xf>
    <xf numFmtId="0" fontId="129" fillId="28" borderId="47" xfId="0" applyFont="1" applyFill="1" applyBorder="1" applyAlignment="1">
      <alignment vertical="center" textRotation="90"/>
    </xf>
    <xf numFmtId="0" fontId="82" fillId="28" borderId="47" xfId="0" applyFont="1" applyFill="1" applyBorder="1" applyAlignment="1">
      <alignment horizontal="center" vertical="center"/>
    </xf>
    <xf numFmtId="177" fontId="81" fillId="28" borderId="47" xfId="0" applyNumberFormat="1" applyFont="1" applyFill="1" applyBorder="1" applyAlignment="1">
      <alignment horizontal="center" vertical="center"/>
    </xf>
    <xf numFmtId="164" fontId="81" fillId="28" borderId="47" xfId="0" applyNumberFormat="1" applyFont="1" applyFill="1" applyBorder="1" applyAlignment="1">
      <alignment horizontal="center" vertical="center"/>
    </xf>
    <xf numFmtId="3" fontId="147" fillId="28" borderId="47" xfId="0" applyNumberFormat="1" applyFont="1" applyFill="1" applyBorder="1" applyAlignment="1">
      <alignment vertical="center" wrapText="1"/>
    </xf>
    <xf numFmtId="0" fontId="106" fillId="28" borderId="47" xfId="0" applyFont="1" applyFill="1" applyBorder="1" applyAlignment="1">
      <alignment vertical="center" textRotation="90"/>
    </xf>
    <xf numFmtId="0" fontId="123" fillId="28" borderId="47" xfId="0" applyFont="1" applyFill="1" applyBorder="1" applyAlignment="1">
      <alignment vertical="center" textRotation="90"/>
    </xf>
    <xf numFmtId="0" fontId="107" fillId="28" borderId="47" xfId="0" applyFont="1" applyFill="1" applyBorder="1" applyAlignment="1">
      <alignment vertical="center" textRotation="90"/>
    </xf>
    <xf numFmtId="0" fontId="81" fillId="28" borderId="47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vertical="center" textRotation="90"/>
    </xf>
    <xf numFmtId="0" fontId="12" fillId="28" borderId="47" xfId="0" applyFont="1" applyFill="1" applyBorder="1" applyAlignment="1">
      <alignment vertical="center" textRotation="90"/>
    </xf>
    <xf numFmtId="0" fontId="12" fillId="0" borderId="4" xfId="0" applyFont="1" applyFill="1" applyBorder="1" applyAlignment="1">
      <alignment vertical="center" textRotation="90"/>
    </xf>
    <xf numFmtId="0" fontId="81" fillId="28" borderId="1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3" fontId="147" fillId="0" borderId="38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1" xfId="0" applyBorder="1" applyAlignment="1">
      <alignment vertical="center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vertical="center" wrapText="1"/>
    </xf>
    <xf numFmtId="3" fontId="6" fillId="0" borderId="99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0" fillId="0" borderId="9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28" borderId="91" xfId="0" applyFill="1" applyBorder="1" applyAlignment="1">
      <alignment vertical="center"/>
    </xf>
    <xf numFmtId="0" fontId="0" fillId="28" borderId="38" xfId="0" applyFill="1" applyBorder="1" applyAlignment="1">
      <alignment vertical="center"/>
    </xf>
    <xf numFmtId="0" fontId="0" fillId="28" borderId="88" xfId="0" applyFill="1" applyBorder="1" applyAlignment="1">
      <alignment vertical="center"/>
    </xf>
    <xf numFmtId="0" fontId="0" fillId="28" borderId="10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28" borderId="47" xfId="0" applyFill="1" applyBorder="1" applyAlignment="1">
      <alignment vertical="center"/>
    </xf>
    <xf numFmtId="3" fontId="6" fillId="0" borderId="102" xfId="0" applyNumberFormat="1" applyFont="1" applyBorder="1" applyAlignment="1">
      <alignment vertical="center" wrapText="1"/>
    </xf>
    <xf numFmtId="0" fontId="0" fillId="0" borderId="102" xfId="0" applyBorder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23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177" fontId="153" fillId="0" borderId="103" xfId="0" applyNumberFormat="1" applyFont="1" applyFill="1" applyBorder="1" applyAlignment="1">
      <alignment horizontal="right" vertical="center"/>
    </xf>
    <xf numFmtId="177" fontId="153" fillId="0" borderId="103" xfId="0" applyNumberFormat="1" applyFont="1" applyFill="1" applyBorder="1" applyAlignment="1">
      <alignment horizontal="right"/>
    </xf>
    <xf numFmtId="0" fontId="153" fillId="0" borderId="84" xfId="0" applyFont="1" applyFill="1" applyBorder="1" applyAlignment="1">
      <alignment vertical="center"/>
    </xf>
    <xf numFmtId="0" fontId="12" fillId="29" borderId="0" xfId="0" applyFont="1" applyFill="1" applyAlignment="1">
      <alignment horizontal="center" vertical="center"/>
    </xf>
    <xf numFmtId="0" fontId="0" fillId="29" borderId="0" xfId="0" applyFill="1"/>
    <xf numFmtId="0" fontId="153" fillId="0" borderId="3" xfId="0" applyFont="1" applyBorder="1" applyAlignment="1">
      <alignment vertical="center"/>
    </xf>
    <xf numFmtId="0" fontId="10" fillId="28" borderId="0" xfId="0" applyFont="1" applyFill="1" applyAlignment="1">
      <alignment vertical="center"/>
    </xf>
    <xf numFmtId="0" fontId="154" fillId="10" borderId="0" xfId="0" applyFont="1" applyFill="1" applyAlignment="1">
      <alignment horizontal="right"/>
    </xf>
    <xf numFmtId="0" fontId="3" fillId="0" borderId="47" xfId="0" applyFont="1" applyFill="1" applyBorder="1" applyAlignment="1">
      <alignment horizontal="center" vertical="center"/>
    </xf>
    <xf numFmtId="0" fontId="3" fillId="28" borderId="47" xfId="0" applyFont="1" applyFill="1" applyBorder="1" applyAlignment="1">
      <alignment horizontal="center" vertical="center"/>
    </xf>
    <xf numFmtId="0" fontId="0" fillId="28" borderId="12" xfId="0" applyFill="1" applyBorder="1" applyAlignment="1">
      <alignment vertical="center"/>
    </xf>
    <xf numFmtId="0" fontId="0" fillId="0" borderId="43" xfId="0" applyBorder="1"/>
    <xf numFmtId="0" fontId="17" fillId="28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43" fillId="0" borderId="104" xfId="0" applyFont="1" applyFill="1" applyBorder="1" applyAlignment="1">
      <alignment horizontal="left" vertical="center"/>
    </xf>
    <xf numFmtId="0" fontId="143" fillId="0" borderId="104" xfId="0" applyFont="1" applyFill="1" applyBorder="1" applyAlignment="1">
      <alignment horizontal="center" vertical="center"/>
    </xf>
    <xf numFmtId="0" fontId="143" fillId="0" borderId="105" xfId="0" applyFont="1" applyFill="1" applyBorder="1" applyAlignment="1">
      <alignment horizontal="center" vertical="center"/>
    </xf>
    <xf numFmtId="0" fontId="148" fillId="0" borderId="47" xfId="0" applyFont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0" borderId="81" xfId="0" applyNumberFormat="1" applyFont="1" applyFill="1" applyBorder="1" applyAlignment="1">
      <alignment horizontal="center" vertical="center"/>
    </xf>
    <xf numFmtId="177" fontId="3" fillId="0" borderId="82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83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84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right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3" fontId="87" fillId="0" borderId="103" xfId="0" applyNumberFormat="1" applyFont="1" applyBorder="1" applyAlignment="1">
      <alignment vertical="center" wrapText="1"/>
    </xf>
    <xf numFmtId="0" fontId="150" fillId="0" borderId="84" xfId="0" applyFont="1" applyFill="1" applyBorder="1" applyAlignment="1">
      <alignment vertical="center" textRotation="90"/>
    </xf>
    <xf numFmtId="0" fontId="0" fillId="0" borderId="103" xfId="0" applyBorder="1" applyAlignment="1">
      <alignment vertical="center"/>
    </xf>
    <xf numFmtId="177" fontId="3" fillId="0" borderId="42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center" vertical="center"/>
    </xf>
    <xf numFmtId="177" fontId="3" fillId="0" borderId="86" xfId="0" applyNumberFormat="1" applyFont="1" applyFill="1" applyBorder="1" applyAlignment="1">
      <alignment horizontal="center" vertical="center"/>
    </xf>
    <xf numFmtId="177" fontId="3" fillId="0" borderId="87" xfId="0" applyNumberFormat="1" applyFont="1" applyFill="1" applyBorder="1" applyAlignment="1">
      <alignment horizontal="center" vertical="center"/>
    </xf>
    <xf numFmtId="177" fontId="3" fillId="0" borderId="107" xfId="0" applyNumberFormat="1" applyFont="1" applyFill="1" applyBorder="1" applyAlignment="1">
      <alignment horizontal="center" vertical="center"/>
    </xf>
    <xf numFmtId="177" fontId="3" fillId="0" borderId="108" xfId="0" applyNumberFormat="1" applyFont="1" applyFill="1" applyBorder="1" applyAlignment="1">
      <alignment horizontal="center" vertical="center"/>
    </xf>
    <xf numFmtId="177" fontId="3" fillId="0" borderId="109" xfId="0" applyNumberFormat="1" applyFont="1" applyFill="1" applyBorder="1" applyAlignment="1">
      <alignment horizontal="center" vertical="center"/>
    </xf>
    <xf numFmtId="164" fontId="81" fillId="0" borderId="42" xfId="0" applyNumberFormat="1" applyFont="1" applyFill="1" applyBorder="1" applyAlignment="1">
      <alignment horizontal="center" vertical="center"/>
    </xf>
    <xf numFmtId="164" fontId="81" fillId="0" borderId="46" xfId="0" applyNumberFormat="1" applyFont="1" applyFill="1" applyBorder="1" applyAlignment="1">
      <alignment horizontal="center" vertical="center"/>
    </xf>
    <xf numFmtId="177" fontId="81" fillId="0" borderId="106" xfId="0" applyNumberFormat="1" applyFont="1" applyFill="1" applyBorder="1" applyAlignment="1">
      <alignment horizontal="center" vertical="center"/>
    </xf>
    <xf numFmtId="164" fontId="81" fillId="0" borderId="106" xfId="0" applyNumberFormat="1" applyFont="1" applyFill="1" applyBorder="1" applyAlignment="1">
      <alignment horizontal="center" vertical="center"/>
    </xf>
    <xf numFmtId="0" fontId="0" fillId="28" borderId="0" xfId="0" applyFill="1" applyAlignment="1"/>
    <xf numFmtId="3" fontId="126" fillId="28" borderId="0" xfId="0" applyNumberFormat="1" applyFont="1" applyFill="1" applyBorder="1" applyAlignment="1">
      <alignment horizontal="center" vertical="center" wrapText="1"/>
    </xf>
    <xf numFmtId="177" fontId="3" fillId="0" borderId="99" xfId="0" applyNumberFormat="1" applyFont="1" applyFill="1" applyBorder="1" applyAlignment="1">
      <alignment horizontal="center" vertical="center"/>
    </xf>
    <xf numFmtId="177" fontId="3" fillId="0" borderId="96" xfId="0" applyNumberFormat="1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177" fontId="3" fillId="0" borderId="102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150" fillId="0" borderId="47" xfId="0" applyFont="1" applyFill="1" applyBorder="1" applyAlignment="1">
      <alignment vertical="center" textRotation="90"/>
    </xf>
    <xf numFmtId="177" fontId="3" fillId="0" borderId="47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right" vertical="center"/>
    </xf>
    <xf numFmtId="0" fontId="150" fillId="28" borderId="47" xfId="0" applyFont="1" applyFill="1" applyBorder="1" applyAlignment="1">
      <alignment vertical="center" textRotation="90"/>
    </xf>
    <xf numFmtId="177" fontId="3" fillId="28" borderId="47" xfId="0" applyNumberFormat="1" applyFont="1" applyFill="1" applyBorder="1" applyAlignment="1">
      <alignment horizontal="center" vertical="center"/>
    </xf>
    <xf numFmtId="177" fontId="3" fillId="28" borderId="47" xfId="0" applyNumberFormat="1" applyFont="1" applyFill="1" applyBorder="1" applyAlignment="1">
      <alignment horizontal="right" vertical="center"/>
    </xf>
    <xf numFmtId="3" fontId="87" fillId="28" borderId="47" xfId="0" applyNumberFormat="1" applyFont="1" applyFill="1" applyBorder="1" applyAlignment="1">
      <alignment vertical="center" wrapText="1"/>
    </xf>
    <xf numFmtId="0" fontId="0" fillId="28" borderId="47" xfId="0" applyFill="1" applyBorder="1"/>
    <xf numFmtId="0" fontId="150" fillId="0" borderId="38" xfId="0" applyFont="1" applyFill="1" applyBorder="1" applyAlignment="1">
      <alignment vertical="center" textRotation="90"/>
    </xf>
    <xf numFmtId="3" fontId="87" fillId="0" borderId="38" xfId="0" applyNumberFormat="1" applyFont="1" applyFill="1" applyBorder="1" applyAlignment="1">
      <alignment vertical="center" wrapText="1"/>
    </xf>
    <xf numFmtId="3" fontId="87" fillId="0" borderId="47" xfId="0" applyNumberFormat="1" applyFont="1" applyFill="1" applyBorder="1" applyAlignment="1">
      <alignment vertical="center" wrapText="1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88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177" fontId="3" fillId="0" borderId="90" xfId="0" applyNumberFormat="1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vertical="center" textRotation="90"/>
    </xf>
    <xf numFmtId="0" fontId="150" fillId="28" borderId="12" xfId="0" applyFont="1" applyFill="1" applyBorder="1" applyAlignment="1">
      <alignment vertical="center" textRotation="90"/>
    </xf>
    <xf numFmtId="0" fontId="17" fillId="28" borderId="12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/>
    </xf>
    <xf numFmtId="177" fontId="3" fillId="28" borderId="12" xfId="0" applyNumberFormat="1" applyFont="1" applyFill="1" applyBorder="1" applyAlignment="1">
      <alignment horizontal="center" vertical="center"/>
    </xf>
    <xf numFmtId="177" fontId="3" fillId="28" borderId="12" xfId="0" applyNumberFormat="1" applyFont="1" applyFill="1" applyBorder="1" applyAlignment="1">
      <alignment horizontal="right" vertical="center"/>
    </xf>
    <xf numFmtId="3" fontId="87" fillId="28" borderId="12" xfId="0" applyNumberFormat="1" applyFont="1" applyFill="1" applyBorder="1" applyAlignment="1">
      <alignment vertical="center" wrapText="1"/>
    </xf>
    <xf numFmtId="0" fontId="0" fillId="0" borderId="94" xfId="0" applyBorder="1"/>
    <xf numFmtId="0" fontId="0" fillId="0" borderId="42" xfId="0" applyBorder="1"/>
    <xf numFmtId="0" fontId="0" fillId="0" borderId="99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44" xfId="0" applyBorder="1"/>
    <xf numFmtId="0" fontId="0" fillId="0" borderId="98" xfId="0" applyBorder="1"/>
    <xf numFmtId="180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80" fontId="3" fillId="0" borderId="44" xfId="0" applyNumberFormat="1" applyFont="1" applyFill="1" applyBorder="1" applyAlignment="1">
      <alignment horizontal="center" vertical="center"/>
    </xf>
    <xf numFmtId="180" fontId="3" fillId="28" borderId="47" xfId="0" applyNumberFormat="1" applyFont="1" applyFill="1" applyBorder="1" applyAlignment="1">
      <alignment horizontal="center" vertical="center"/>
    </xf>
    <xf numFmtId="180" fontId="3" fillId="0" borderId="81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>
      <alignment horizontal="center" vertical="center"/>
    </xf>
    <xf numFmtId="180" fontId="3" fillId="0" borderId="38" xfId="0" applyNumberFormat="1" applyFont="1" applyFill="1" applyBorder="1" applyAlignment="1">
      <alignment horizontal="center" vertical="center"/>
    </xf>
    <xf numFmtId="180" fontId="3" fillId="0" borderId="47" xfId="0" applyNumberFormat="1" applyFont="1" applyFill="1" applyBorder="1" applyAlignment="1">
      <alignment horizontal="center" vertical="center"/>
    </xf>
    <xf numFmtId="180" fontId="3" fillId="0" borderId="88" xfId="0" applyNumberFormat="1" applyFont="1" applyFill="1" applyBorder="1" applyAlignment="1">
      <alignment horizontal="center" vertical="center"/>
    </xf>
    <xf numFmtId="4" fontId="6" fillId="0" borderId="42" xfId="0" applyNumberFormat="1" applyFont="1" applyBorder="1" applyAlignment="1">
      <alignment vertical="center" wrapText="1"/>
    </xf>
    <xf numFmtId="0" fontId="0" fillId="0" borderId="18" xfId="0" applyBorder="1"/>
    <xf numFmtId="0" fontId="0" fillId="0" borderId="101" xfId="0" applyBorder="1"/>
    <xf numFmtId="0" fontId="0" fillId="0" borderId="91" xfId="0" applyBorder="1"/>
    <xf numFmtId="164" fontId="3" fillId="0" borderId="38" xfId="0" applyNumberFormat="1" applyFont="1" applyFill="1" applyBorder="1" applyAlignment="1">
      <alignment horizontal="right" vertical="center"/>
    </xf>
    <xf numFmtId="180" fontId="3" fillId="0" borderId="38" xfId="0" applyNumberFormat="1" applyFont="1" applyFill="1" applyBorder="1" applyAlignment="1">
      <alignment horizontal="right" vertical="center"/>
    </xf>
    <xf numFmtId="180" fontId="3" fillId="28" borderId="47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center" vertical="center"/>
    </xf>
    <xf numFmtId="180" fontId="3" fillId="0" borderId="83" xfId="0" applyNumberFormat="1" applyFont="1" applyFill="1" applyBorder="1" applyAlignment="1">
      <alignment horizontal="center" vertical="center"/>
    </xf>
    <xf numFmtId="180" fontId="3" fillId="0" borderId="87" xfId="0" applyNumberFormat="1" applyFont="1" applyFill="1" applyBorder="1" applyAlignment="1">
      <alignment horizontal="center" vertical="center"/>
    </xf>
    <xf numFmtId="180" fontId="3" fillId="0" borderId="47" xfId="0" applyNumberFormat="1" applyFont="1" applyFill="1" applyBorder="1" applyAlignment="1">
      <alignment horizontal="right" vertical="center"/>
    </xf>
    <xf numFmtId="180" fontId="3" fillId="0" borderId="82" xfId="0" applyNumberFormat="1" applyFont="1" applyFill="1" applyBorder="1" applyAlignment="1">
      <alignment horizontal="center" vertical="center"/>
    </xf>
    <xf numFmtId="180" fontId="3" fillId="0" borderId="90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right" vertical="center"/>
    </xf>
    <xf numFmtId="177" fontId="153" fillId="0" borderId="103" xfId="0" applyNumberFormat="1" applyFont="1" applyFill="1" applyBorder="1" applyAlignment="1">
      <alignment horizontal="center" vertical="center"/>
    </xf>
    <xf numFmtId="177" fontId="140" fillId="0" borderId="48" xfId="0" applyNumberFormat="1" applyFont="1" applyBorder="1" applyAlignment="1">
      <alignment horizontal="center" vertical="center"/>
    </xf>
    <xf numFmtId="180" fontId="81" fillId="0" borderId="38" xfId="0" applyNumberFormat="1" applyFont="1" applyFill="1" applyBorder="1" applyAlignment="1">
      <alignment horizontal="right" vertical="center"/>
    </xf>
    <xf numFmtId="180" fontId="81" fillId="0" borderId="107" xfId="0" applyNumberFormat="1" applyFont="1" applyFill="1" applyBorder="1" applyAlignment="1">
      <alignment horizontal="center" vertical="center"/>
    </xf>
    <xf numFmtId="180" fontId="81" fillId="0" borderId="108" xfId="0" applyNumberFormat="1" applyFont="1" applyFill="1" applyBorder="1" applyAlignment="1">
      <alignment horizontal="center" vertical="center"/>
    </xf>
    <xf numFmtId="180" fontId="81" fillId="0" borderId="110" xfId="0" applyNumberFormat="1" applyFont="1" applyFill="1" applyBorder="1" applyAlignment="1">
      <alignment horizontal="center" vertical="center"/>
    </xf>
    <xf numFmtId="180" fontId="81" fillId="28" borderId="47" xfId="0" applyNumberFormat="1" applyFont="1" applyFill="1" applyBorder="1" applyAlignment="1">
      <alignment horizontal="right" vertical="center"/>
    </xf>
    <xf numFmtId="180" fontId="81" fillId="0" borderId="82" xfId="0" applyNumberFormat="1" applyFont="1" applyFill="1" applyBorder="1" applyAlignment="1">
      <alignment horizontal="center" vertical="center"/>
    </xf>
    <xf numFmtId="180" fontId="81" fillId="0" borderId="83" xfId="0" applyNumberFormat="1" applyFont="1" applyFill="1" applyBorder="1" applyAlignment="1">
      <alignment horizontal="center" vertical="center"/>
    </xf>
    <xf numFmtId="180" fontId="81" fillId="0" borderId="90" xfId="0" applyNumberFormat="1" applyFont="1" applyFill="1" applyBorder="1" applyAlignment="1">
      <alignment horizontal="center" vertical="center"/>
    </xf>
    <xf numFmtId="180" fontId="81" fillId="0" borderId="47" xfId="0" applyNumberFormat="1" applyFont="1" applyFill="1" applyBorder="1" applyAlignment="1">
      <alignment horizontal="right" vertical="center"/>
    </xf>
    <xf numFmtId="180" fontId="81" fillId="28" borderId="12" xfId="0" applyNumberFormat="1" applyFont="1" applyFill="1" applyBorder="1" applyAlignment="1">
      <alignment horizontal="right" vertical="center"/>
    </xf>
    <xf numFmtId="4" fontId="0" fillId="0" borderId="43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28" borderId="100" xfId="0" applyNumberFormat="1" applyFill="1" applyBorder="1" applyAlignment="1">
      <alignment vertical="center"/>
    </xf>
    <xf numFmtId="180" fontId="81" fillId="0" borderId="109" xfId="0" applyNumberFormat="1" applyFont="1" applyFill="1" applyBorder="1" applyAlignment="1">
      <alignment horizontal="center" vertical="center"/>
    </xf>
    <xf numFmtId="4" fontId="0" fillId="28" borderId="47" xfId="0" applyNumberFormat="1" applyFill="1" applyBorder="1" applyAlignment="1">
      <alignment vertical="center"/>
    </xf>
    <xf numFmtId="180" fontId="81" fillId="0" borderId="99" xfId="0" applyNumberFormat="1" applyFont="1" applyFill="1" applyBorder="1" applyAlignment="1">
      <alignment horizontal="center" vertical="center"/>
    </xf>
    <xf numFmtId="180" fontId="81" fillId="0" borderId="96" xfId="0" applyNumberFormat="1" applyFont="1" applyFill="1" applyBorder="1" applyAlignment="1">
      <alignment horizontal="center" vertical="center"/>
    </xf>
    <xf numFmtId="180" fontId="81" fillId="0" borderId="98" xfId="0" applyNumberFormat="1" applyFont="1" applyFill="1" applyBorder="1" applyAlignment="1">
      <alignment horizontal="center" vertical="center"/>
    </xf>
    <xf numFmtId="0" fontId="12" fillId="27" borderId="0" xfId="1" applyFont="1" applyFill="1" applyAlignment="1" applyProtection="1">
      <alignment horizontal="center"/>
    </xf>
    <xf numFmtId="0" fontId="155" fillId="0" borderId="4" xfId="0" applyFont="1" applyFill="1" applyBorder="1" applyAlignment="1">
      <alignment horizontal="left"/>
    </xf>
    <xf numFmtId="0" fontId="10" fillId="15" borderId="0" xfId="1" applyFont="1" applyFill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/>
      <protection locked="0"/>
    </xf>
    <xf numFmtId="0" fontId="17" fillId="0" borderId="43" xfId="0" applyFont="1" applyFill="1" applyBorder="1" applyAlignment="1" applyProtection="1">
      <alignment horizontal="center"/>
      <protection locked="0"/>
    </xf>
    <xf numFmtId="0" fontId="17" fillId="0" borderId="44" xfId="0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 vertical="center"/>
      <protection locked="0"/>
    </xf>
    <xf numFmtId="0" fontId="0" fillId="28" borderId="0" xfId="0" applyFill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vertical="center"/>
      <protection locked="0"/>
    </xf>
    <xf numFmtId="0" fontId="17" fillId="0" borderId="46" xfId="63" applyFont="1" applyBorder="1" applyAlignment="1" applyProtection="1">
      <alignment vertical="center"/>
      <protection locked="0"/>
    </xf>
    <xf numFmtId="0" fontId="17" fillId="0" borderId="43" xfId="63" applyFont="1" applyBorder="1" applyAlignment="1" applyProtection="1">
      <alignment vertical="center"/>
      <protection locked="0"/>
    </xf>
    <xf numFmtId="0" fontId="17" fillId="0" borderId="42" xfId="63" applyFont="1" applyBorder="1" applyAlignment="1" applyProtection="1">
      <alignment vertical="center"/>
      <protection locked="0"/>
    </xf>
    <xf numFmtId="0" fontId="0" fillId="28" borderId="0" xfId="0" applyFill="1" applyProtection="1">
      <protection locked="0"/>
    </xf>
    <xf numFmtId="0" fontId="0" fillId="28" borderId="0" xfId="0" applyFill="1" applyAlignment="1" applyProtection="1">
      <alignment horizontal="center"/>
      <protection locked="0"/>
    </xf>
    <xf numFmtId="0" fontId="0" fillId="27" borderId="0" xfId="0" applyFill="1" applyAlignment="1" applyProtection="1">
      <alignment horizontal="center"/>
      <protection locked="0"/>
    </xf>
    <xf numFmtId="0" fontId="0" fillId="27" borderId="0" xfId="0" applyFill="1" applyProtection="1"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156" fillId="0" borderId="3" xfId="0" applyFont="1" applyBorder="1" applyAlignment="1">
      <alignment vertical="center"/>
    </xf>
    <xf numFmtId="0" fontId="157" fillId="0" borderId="3" xfId="0" applyFont="1" applyBorder="1" applyAlignment="1">
      <alignment vertical="center"/>
    </xf>
    <xf numFmtId="0" fontId="158" fillId="0" borderId="3" xfId="0" applyFont="1" applyBorder="1" applyAlignment="1">
      <alignment vertical="center"/>
    </xf>
    <xf numFmtId="0" fontId="159" fillId="0" borderId="3" xfId="0" applyFont="1" applyBorder="1" applyAlignment="1">
      <alignment vertical="center"/>
    </xf>
    <xf numFmtId="0" fontId="17" fillId="0" borderId="44" xfId="63" applyFont="1" applyBorder="1" applyAlignment="1" applyProtection="1">
      <alignment vertical="center"/>
      <protection locked="0"/>
    </xf>
    <xf numFmtId="16" fontId="3" fillId="12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" fillId="0" borderId="3" xfId="0" applyFont="1" applyFill="1" applyBorder="1" applyAlignment="1">
      <alignment horizontal="right" vertical="center"/>
    </xf>
    <xf numFmtId="0" fontId="160" fillId="7" borderId="4" xfId="0" applyFont="1" applyFill="1" applyBorder="1" applyAlignment="1">
      <alignment horizontal="left"/>
    </xf>
    <xf numFmtId="0" fontId="20" fillId="0" borderId="4" xfId="63" applyFont="1" applyBorder="1" applyAlignment="1">
      <alignment vertical="center"/>
    </xf>
    <xf numFmtId="0" fontId="65" fillId="0" borderId="4" xfId="0" applyFont="1" applyBorder="1"/>
    <xf numFmtId="1" fontId="135" fillId="0" borderId="53" xfId="0" applyNumberFormat="1" applyFont="1" applyFill="1" applyBorder="1" applyAlignment="1">
      <alignment horizontal="center"/>
    </xf>
    <xf numFmtId="0" fontId="113" fillId="14" borderId="3" xfId="0" applyFont="1" applyFill="1" applyBorder="1"/>
    <xf numFmtId="0" fontId="115" fillId="14" borderId="5" xfId="0" applyFont="1" applyFill="1" applyBorder="1" applyAlignment="1">
      <alignment horizontal="left"/>
    </xf>
    <xf numFmtId="0" fontId="114" fillId="14" borderId="5" xfId="0" applyFont="1" applyFill="1" applyBorder="1"/>
    <xf numFmtId="0" fontId="114" fillId="14" borderId="5" xfId="0" applyFont="1" applyFill="1" applyBorder="1" applyAlignment="1">
      <alignment horizontal="left"/>
    </xf>
    <xf numFmtId="0" fontId="6" fillId="14" borderId="3" xfId="0" applyFont="1" applyFill="1" applyBorder="1"/>
    <xf numFmtId="0" fontId="134" fillId="14" borderId="3" xfId="0" applyFont="1" applyFill="1" applyBorder="1" applyAlignment="1">
      <alignment horizontal="left"/>
    </xf>
    <xf numFmtId="0" fontId="59" fillId="14" borderId="5" xfId="0" applyFont="1" applyFill="1" applyBorder="1" applyAlignment="1">
      <alignment horizontal="left"/>
    </xf>
    <xf numFmtId="0" fontId="115" fillId="14" borderId="5" xfId="0" applyFont="1" applyFill="1" applyBorder="1" applyAlignment="1">
      <alignment horizontal="left" vertical="center"/>
    </xf>
    <xf numFmtId="0" fontId="114" fillId="14" borderId="40" xfId="0" applyFont="1" applyFill="1" applyBorder="1"/>
    <xf numFmtId="0" fontId="113" fillId="14" borderId="111" xfId="0" applyFont="1" applyFill="1" applyBorder="1" applyAlignment="1"/>
    <xf numFmtId="0" fontId="59" fillId="14" borderId="111" xfId="0" applyFont="1" applyFill="1" applyBorder="1" applyAlignment="1"/>
    <xf numFmtId="0" fontId="113" fillId="14" borderId="6" xfId="0" applyFont="1" applyFill="1" applyBorder="1" applyAlignment="1"/>
    <xf numFmtId="0" fontId="113" fillId="14" borderId="4" xfId="0" applyFont="1" applyFill="1" applyBorder="1" applyAlignment="1">
      <alignment horizontal="left"/>
    </xf>
    <xf numFmtId="0" fontId="114" fillId="14" borderId="18" xfId="0" applyFont="1" applyFill="1" applyBorder="1"/>
    <xf numFmtId="0" fontId="114" fillId="14" borderId="18" xfId="0" applyFont="1" applyFill="1" applyBorder="1" applyAlignment="1">
      <alignment horizontal="left"/>
    </xf>
    <xf numFmtId="0" fontId="115" fillId="14" borderId="18" xfId="0" applyFont="1" applyFill="1" applyBorder="1" applyAlignment="1">
      <alignment horizontal="left" vertical="center"/>
    </xf>
    <xf numFmtId="0" fontId="161" fillId="0" borderId="3" xfId="0" applyFont="1" applyBorder="1" applyAlignment="1" applyProtection="1">
      <alignment vertical="center"/>
      <protection locked="0"/>
    </xf>
    <xf numFmtId="0" fontId="161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62" fillId="0" borderId="5" xfId="0" applyFont="1" applyBorder="1" applyAlignment="1" applyProtection="1">
      <alignment vertical="center"/>
      <protection locked="0"/>
    </xf>
    <xf numFmtId="0" fontId="163" fillId="0" borderId="5" xfId="0" applyFont="1" applyBorder="1" applyAlignment="1" applyProtection="1">
      <alignment vertical="center"/>
      <protection locked="0"/>
    </xf>
    <xf numFmtId="0" fontId="164" fillId="0" borderId="5" xfId="0" applyFont="1" applyBorder="1" applyAlignment="1" applyProtection="1">
      <alignment vertical="center"/>
      <protection locked="0"/>
    </xf>
    <xf numFmtId="177" fontId="161" fillId="0" borderId="79" xfId="0" applyNumberFormat="1" applyFont="1" applyBorder="1" applyAlignment="1">
      <alignment horizontal="center" vertical="center"/>
    </xf>
    <xf numFmtId="177" fontId="161" fillId="0" borderId="103" xfId="0" applyNumberFormat="1" applyFont="1" applyBorder="1" applyAlignment="1">
      <alignment horizontal="center" vertical="center"/>
    </xf>
    <xf numFmtId="177" fontId="4" fillId="0" borderId="103" xfId="0" applyNumberFormat="1" applyFont="1" applyBorder="1" applyAlignment="1">
      <alignment horizontal="center" vertical="center"/>
    </xf>
    <xf numFmtId="177" fontId="165" fillId="0" borderId="103" xfId="0" applyNumberFormat="1" applyFont="1" applyBorder="1" applyAlignment="1">
      <alignment horizontal="center" vertical="center"/>
    </xf>
    <xf numFmtId="177" fontId="163" fillId="0" borderId="103" xfId="0" applyNumberFormat="1" applyFont="1" applyBorder="1" applyAlignment="1">
      <alignment horizontal="center" vertical="center"/>
    </xf>
    <xf numFmtId="177" fontId="164" fillId="0" borderId="103" xfId="0" applyNumberFormat="1" applyFont="1" applyBorder="1" applyAlignment="1">
      <alignment horizontal="center" vertical="center"/>
    </xf>
    <xf numFmtId="0" fontId="161" fillId="0" borderId="103" xfId="0" applyFont="1" applyBorder="1" applyAlignment="1" applyProtection="1">
      <alignment horizontal="center"/>
      <protection locked="0"/>
    </xf>
    <xf numFmtId="0" fontId="4" fillId="0" borderId="103" xfId="0" applyFont="1" applyBorder="1" applyAlignment="1" applyProtection="1">
      <alignment horizontal="center"/>
      <protection locked="0"/>
    </xf>
    <xf numFmtId="0" fontId="162" fillId="0" borderId="103" xfId="0" applyFont="1" applyBorder="1" applyAlignment="1" applyProtection="1">
      <alignment horizontal="center"/>
      <protection locked="0"/>
    </xf>
    <xf numFmtId="0" fontId="163" fillId="0" borderId="103" xfId="0" applyFont="1" applyBorder="1" applyAlignment="1" applyProtection="1">
      <alignment horizontal="center"/>
      <protection locked="0"/>
    </xf>
    <xf numFmtId="0" fontId="164" fillId="0" borderId="103" xfId="0" applyFont="1" applyBorder="1" applyAlignment="1" applyProtection="1">
      <alignment horizontal="center"/>
      <protection locked="0"/>
    </xf>
    <xf numFmtId="177" fontId="162" fillId="0" borderId="103" xfId="0" applyNumberFormat="1" applyFont="1" applyBorder="1" applyAlignment="1">
      <alignment horizontal="center" vertical="center"/>
    </xf>
    <xf numFmtId="0" fontId="162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7" fontId="4" fillId="0" borderId="79" xfId="0" applyNumberFormat="1" applyFont="1" applyBorder="1" applyAlignment="1">
      <alignment horizontal="center" vertical="center"/>
    </xf>
    <xf numFmtId="0" fontId="162" fillId="0" borderId="79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177" fontId="162" fillId="0" borderId="79" xfId="0" applyNumberFormat="1" applyFont="1" applyBorder="1" applyAlignment="1">
      <alignment horizontal="center" vertical="center"/>
    </xf>
    <xf numFmtId="0" fontId="164" fillId="0" borderId="3" xfId="54" applyFont="1" applyFill="1" applyBorder="1"/>
    <xf numFmtId="0" fontId="162" fillId="0" borderId="5" xfId="54" applyFont="1" applyFill="1" applyBorder="1"/>
    <xf numFmtId="0" fontId="161" fillId="0" borderId="3" xfId="54" applyFont="1" applyFill="1" applyBorder="1"/>
    <xf numFmtId="0" fontId="4" fillId="17" borderId="112" xfId="0" applyFont="1" applyFill="1" applyBorder="1" applyAlignment="1" applyProtection="1">
      <alignment horizontal="center" textRotation="90"/>
      <protection locked="0"/>
    </xf>
    <xf numFmtId="0" fontId="4" fillId="17" borderId="14" xfId="0" applyFont="1" applyFill="1" applyBorder="1" applyAlignment="1" applyProtection="1">
      <alignment horizontal="center" textRotation="90"/>
      <protection locked="0"/>
    </xf>
    <xf numFmtId="0" fontId="4" fillId="17" borderId="15" xfId="0" applyFont="1" applyFill="1" applyBorder="1" applyAlignment="1" applyProtection="1">
      <alignment horizontal="center" textRotation="90"/>
      <protection locked="0"/>
    </xf>
    <xf numFmtId="0" fontId="14" fillId="18" borderId="2" xfId="0" applyFont="1" applyFill="1" applyBorder="1" applyAlignment="1">
      <alignment horizontal="center"/>
    </xf>
    <xf numFmtId="0" fontId="14" fillId="18" borderId="113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4" fillId="17" borderId="2" xfId="0" applyFont="1" applyFill="1" applyBorder="1" applyAlignment="1" applyProtection="1">
      <alignment horizontal="center" textRotation="90"/>
      <protection locked="0"/>
    </xf>
    <xf numFmtId="0" fontId="4" fillId="17" borderId="113" xfId="0" applyFont="1" applyFill="1" applyBorder="1" applyAlignment="1" applyProtection="1">
      <alignment horizontal="center" textRotation="90"/>
      <protection locked="0"/>
    </xf>
    <xf numFmtId="0" fontId="4" fillId="17" borderId="1" xfId="0" applyFont="1" applyFill="1" applyBorder="1" applyAlignment="1" applyProtection="1">
      <alignment horizontal="center" textRotation="90"/>
      <protection locked="0"/>
    </xf>
    <xf numFmtId="0" fontId="4" fillId="6" borderId="0" xfId="1" applyFont="1" applyFill="1" applyAlignment="1" applyProtection="1">
      <alignment horizontal="center"/>
    </xf>
    <xf numFmtId="0" fontId="13" fillId="19" borderId="0" xfId="54" applyFont="1" applyFill="1" applyBorder="1" applyAlignment="1">
      <alignment horizontal="center" vertical="center" wrapText="1"/>
    </xf>
    <xf numFmtId="0" fontId="13" fillId="19" borderId="38" xfId="54" applyFont="1" applyFill="1" applyBorder="1" applyAlignment="1">
      <alignment horizontal="center" vertical="center" wrapText="1"/>
    </xf>
    <xf numFmtId="0" fontId="85" fillId="19" borderId="0" xfId="54" applyFont="1" applyFill="1" applyAlignment="1">
      <alignment horizontal="center" vertical="center"/>
    </xf>
    <xf numFmtId="0" fontId="142" fillId="20" borderId="0" xfId="1" applyFont="1" applyFill="1" applyBorder="1" applyAlignment="1" applyProtection="1">
      <alignment horizontal="center" wrapText="1"/>
    </xf>
    <xf numFmtId="0" fontId="142" fillId="23" borderId="0" xfId="1" applyFont="1" applyFill="1" applyBorder="1" applyAlignment="1" applyProtection="1">
      <alignment horizontal="center" wrapText="1"/>
    </xf>
    <xf numFmtId="0" fontId="84" fillId="19" borderId="4" xfId="54" applyFont="1" applyFill="1" applyBorder="1" applyAlignment="1">
      <alignment horizontal="center" vertical="center" wrapText="1"/>
    </xf>
    <xf numFmtId="0" fontId="84" fillId="19" borderId="47" xfId="54" applyFont="1" applyFill="1" applyBorder="1" applyAlignment="1">
      <alignment horizontal="center" vertical="center" wrapText="1"/>
    </xf>
    <xf numFmtId="0" fontId="84" fillId="19" borderId="79" xfId="54" applyFont="1" applyFill="1" applyBorder="1" applyAlignment="1">
      <alignment horizontal="center" vertical="center" wrapText="1"/>
    </xf>
    <xf numFmtId="0" fontId="84" fillId="19" borderId="4" xfId="54" applyFont="1" applyFill="1" applyBorder="1" applyAlignment="1">
      <alignment horizontal="center" vertical="center"/>
    </xf>
    <xf numFmtId="0" fontId="84" fillId="19" borderId="47" xfId="54" applyFont="1" applyFill="1" applyBorder="1" applyAlignment="1">
      <alignment horizontal="center" vertical="center"/>
    </xf>
    <xf numFmtId="0" fontId="84" fillId="19" borderId="79" xfId="54" applyFont="1" applyFill="1" applyBorder="1" applyAlignment="1">
      <alignment horizontal="center" vertical="center"/>
    </xf>
    <xf numFmtId="0" fontId="142" fillId="22" borderId="0" xfId="1" applyFont="1" applyFill="1" applyBorder="1" applyAlignment="1" applyProtection="1">
      <alignment horizontal="center" wrapText="1"/>
    </xf>
    <xf numFmtId="0" fontId="13" fillId="19" borderId="0" xfId="0" applyFont="1" applyFill="1" applyBorder="1" applyAlignment="1">
      <alignment horizontal="center" vertical="center" wrapText="1"/>
    </xf>
    <xf numFmtId="0" fontId="13" fillId="19" borderId="38" xfId="0" applyFont="1" applyFill="1" applyBorder="1" applyAlignment="1">
      <alignment horizontal="center" vertical="center" wrapText="1"/>
    </xf>
    <xf numFmtId="0" fontId="16" fillId="24" borderId="0" xfId="54" applyFont="1" applyFill="1" applyAlignment="1">
      <alignment horizontal="center"/>
    </xf>
    <xf numFmtId="0" fontId="0" fillId="0" borderId="0" xfId="0" applyAlignment="1"/>
    <xf numFmtId="0" fontId="12" fillId="15" borderId="0" xfId="1" applyFont="1" applyFill="1" applyAlignment="1" applyProtection="1">
      <alignment horizontal="center" vertical="center"/>
    </xf>
    <xf numFmtId="0" fontId="142" fillId="16" borderId="0" xfId="1" applyFont="1" applyFill="1" applyBorder="1" applyAlignment="1" applyProtection="1">
      <alignment horizontal="center"/>
    </xf>
    <xf numFmtId="0" fontId="142" fillId="21" borderId="0" xfId="1" applyFont="1" applyFill="1" applyBorder="1" applyAlignment="1" applyProtection="1">
      <alignment horizontal="center"/>
    </xf>
    <xf numFmtId="0" fontId="4" fillId="7" borderId="47" xfId="1" applyFont="1" applyFill="1" applyBorder="1" applyAlignment="1" applyProtection="1">
      <alignment horizontal="center"/>
    </xf>
    <xf numFmtId="0" fontId="17" fillId="0" borderId="0" xfId="54" applyFill="1" applyAlignment="1">
      <alignment horizontal="center"/>
    </xf>
    <xf numFmtId="14" fontId="12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14" fontId="86" fillId="22" borderId="0" xfId="0" applyNumberFormat="1" applyFont="1" applyFill="1" applyAlignment="1">
      <alignment horizontal="center"/>
    </xf>
    <xf numFmtId="0" fontId="86" fillId="22" borderId="0" xfId="0" applyFont="1" applyFill="1" applyAlignment="1">
      <alignment horizontal="center"/>
    </xf>
    <xf numFmtId="14" fontId="86" fillId="23" borderId="0" xfId="0" applyNumberFormat="1" applyFont="1" applyFill="1" applyAlignment="1">
      <alignment horizontal="center"/>
    </xf>
    <xf numFmtId="0" fontId="86" fillId="23" borderId="0" xfId="0" applyFont="1" applyFill="1" applyAlignment="1">
      <alignment horizontal="center"/>
    </xf>
    <xf numFmtId="14" fontId="86" fillId="21" borderId="0" xfId="0" applyNumberFormat="1" applyFont="1" applyFill="1" applyAlignment="1">
      <alignment horizontal="center"/>
    </xf>
    <xf numFmtId="0" fontId="86" fillId="21" borderId="0" xfId="0" applyFont="1" applyFill="1" applyAlignment="1">
      <alignment horizontal="center"/>
    </xf>
    <xf numFmtId="14" fontId="86" fillId="16" borderId="0" xfId="0" applyNumberFormat="1" applyFont="1" applyFill="1" applyAlignment="1">
      <alignment horizontal="center"/>
    </xf>
    <xf numFmtId="0" fontId="86" fillId="16" borderId="0" xfId="0" applyFont="1" applyFill="1" applyAlignment="1">
      <alignment horizontal="center"/>
    </xf>
    <xf numFmtId="14" fontId="86" fillId="20" borderId="0" xfId="0" applyNumberFormat="1" applyFont="1" applyFill="1" applyAlignment="1">
      <alignment horizontal="center"/>
    </xf>
    <xf numFmtId="0" fontId="86" fillId="20" borderId="0" xfId="0" applyFont="1" applyFill="1" applyAlignment="1">
      <alignment horizontal="center"/>
    </xf>
    <xf numFmtId="14" fontId="12" fillId="6" borderId="4" xfId="0" applyNumberFormat="1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79" xfId="0" applyFont="1" applyFill="1" applyBorder="1" applyAlignment="1">
      <alignment horizontal="center"/>
    </xf>
    <xf numFmtId="0" fontId="12" fillId="14" borderId="117" xfId="0" applyFont="1" applyFill="1" applyBorder="1" applyAlignment="1">
      <alignment horizontal="center" vertical="center"/>
    </xf>
    <xf numFmtId="0" fontId="12" fillId="14" borderId="129" xfId="0" applyFont="1" applyFill="1" applyBorder="1" applyAlignment="1">
      <alignment horizontal="center" vertical="center"/>
    </xf>
    <xf numFmtId="0" fontId="12" fillId="14" borderId="118" xfId="0" applyFont="1" applyFill="1" applyBorder="1" applyAlignment="1">
      <alignment horizontal="center" vertical="center"/>
    </xf>
    <xf numFmtId="0" fontId="12" fillId="14" borderId="119" xfId="0" applyFont="1" applyFill="1" applyBorder="1" applyAlignment="1">
      <alignment horizontal="center" vertical="center"/>
    </xf>
    <xf numFmtId="0" fontId="12" fillId="14" borderId="130" xfId="0" applyFont="1" applyFill="1" applyBorder="1" applyAlignment="1">
      <alignment horizontal="center" vertical="center"/>
    </xf>
    <xf numFmtId="0" fontId="12" fillId="14" borderId="120" xfId="0" applyFont="1" applyFill="1" applyBorder="1" applyAlignment="1">
      <alignment horizontal="center" vertical="center"/>
    </xf>
    <xf numFmtId="0" fontId="10" fillId="3" borderId="116" xfId="0" applyFont="1" applyFill="1" applyBorder="1" applyAlignment="1">
      <alignment horizontal="center" vertical="center"/>
    </xf>
    <xf numFmtId="0" fontId="166" fillId="32" borderId="121" xfId="1" applyFont="1" applyFill="1" applyBorder="1" applyAlignment="1" applyProtection="1">
      <alignment horizontal="center" vertical="center"/>
    </xf>
    <xf numFmtId="0" fontId="166" fillId="32" borderId="122" xfId="1" applyFont="1" applyFill="1" applyBorder="1" applyAlignment="1" applyProtection="1">
      <alignment horizontal="center" vertical="center"/>
    </xf>
    <xf numFmtId="0" fontId="166" fillId="32" borderId="123" xfId="1" applyFont="1" applyFill="1" applyBorder="1" applyAlignment="1" applyProtection="1">
      <alignment horizontal="center" vertical="center"/>
    </xf>
    <xf numFmtId="0" fontId="166" fillId="32" borderId="124" xfId="1" applyFont="1" applyFill="1" applyBorder="1" applyAlignment="1" applyProtection="1">
      <alignment horizontal="center" vertical="center"/>
    </xf>
    <xf numFmtId="0" fontId="10" fillId="7" borderId="121" xfId="1" applyFont="1" applyFill="1" applyBorder="1" applyAlignment="1" applyProtection="1">
      <alignment horizontal="center" vertical="center"/>
    </xf>
    <xf numFmtId="0" fontId="10" fillId="7" borderId="122" xfId="1" applyFont="1" applyFill="1" applyBorder="1" applyAlignment="1" applyProtection="1">
      <alignment horizontal="center" vertical="center"/>
    </xf>
    <xf numFmtId="0" fontId="10" fillId="7" borderId="127" xfId="1" applyFont="1" applyFill="1" applyBorder="1" applyAlignment="1" applyProtection="1">
      <alignment horizontal="center" vertical="center"/>
    </xf>
    <xf numFmtId="0" fontId="10" fillId="7" borderId="128" xfId="1" applyFont="1" applyFill="1" applyBorder="1" applyAlignment="1" applyProtection="1">
      <alignment horizontal="center" vertical="center"/>
    </xf>
    <xf numFmtId="0" fontId="166" fillId="33" borderId="121" xfId="1" applyFont="1" applyFill="1" applyBorder="1" applyAlignment="1" applyProtection="1">
      <alignment horizontal="center" vertical="center"/>
    </xf>
    <xf numFmtId="0" fontId="166" fillId="33" borderId="122" xfId="1" applyFont="1" applyFill="1" applyBorder="1" applyAlignment="1" applyProtection="1">
      <alignment horizontal="center" vertical="center"/>
    </xf>
    <xf numFmtId="0" fontId="166" fillId="33" borderId="127" xfId="1" applyFont="1" applyFill="1" applyBorder="1" applyAlignment="1" applyProtection="1">
      <alignment horizontal="center" vertical="center"/>
    </xf>
    <xf numFmtId="0" fontId="166" fillId="33" borderId="128" xfId="1" applyFont="1" applyFill="1" applyBorder="1" applyAlignment="1" applyProtection="1">
      <alignment horizontal="center" vertical="center"/>
    </xf>
    <xf numFmtId="0" fontId="166" fillId="34" borderId="121" xfId="1" applyFont="1" applyFill="1" applyBorder="1" applyAlignment="1" applyProtection="1">
      <alignment horizontal="center" vertical="center"/>
    </xf>
    <xf numFmtId="0" fontId="166" fillId="34" borderId="122" xfId="1" applyFont="1" applyFill="1" applyBorder="1" applyAlignment="1" applyProtection="1">
      <alignment horizontal="center" vertical="center"/>
    </xf>
    <xf numFmtId="0" fontId="166" fillId="34" borderId="127" xfId="1" applyFont="1" applyFill="1" applyBorder="1" applyAlignment="1" applyProtection="1">
      <alignment horizontal="center" vertical="center"/>
    </xf>
    <xf numFmtId="0" fontId="166" fillId="34" borderId="128" xfId="1" applyFont="1" applyFill="1" applyBorder="1" applyAlignment="1" applyProtection="1">
      <alignment horizontal="center" vertical="center"/>
    </xf>
    <xf numFmtId="0" fontId="10" fillId="30" borderId="114" xfId="1" applyFont="1" applyFill="1" applyBorder="1" applyAlignment="1" applyProtection="1">
      <alignment horizontal="center" vertical="center"/>
    </xf>
    <xf numFmtId="0" fontId="10" fillId="30" borderId="115" xfId="1" applyFont="1" applyFill="1" applyBorder="1" applyAlignment="1" applyProtection="1">
      <alignment horizontal="center" vertical="center"/>
    </xf>
    <xf numFmtId="0" fontId="99" fillId="25" borderId="114" xfId="1" applyFont="1" applyFill="1" applyBorder="1" applyAlignment="1" applyProtection="1">
      <alignment horizontal="center" vertical="center"/>
    </xf>
    <xf numFmtId="0" fontId="99" fillId="25" borderId="115" xfId="1" applyFont="1" applyFill="1" applyBorder="1" applyAlignment="1" applyProtection="1">
      <alignment horizontal="center" vertical="center"/>
    </xf>
    <xf numFmtId="0" fontId="96" fillId="24" borderId="114" xfId="1" applyFont="1" applyFill="1" applyBorder="1" applyAlignment="1" applyProtection="1">
      <alignment horizontal="center" vertical="center"/>
    </xf>
    <xf numFmtId="0" fontId="96" fillId="24" borderId="115" xfId="1" applyFont="1" applyFill="1" applyBorder="1" applyAlignment="1" applyProtection="1">
      <alignment horizontal="center" vertical="center"/>
    </xf>
    <xf numFmtId="0" fontId="5" fillId="15" borderId="117" xfId="1" applyFont="1" applyFill="1" applyBorder="1" applyAlignment="1" applyProtection="1">
      <alignment horizontal="center" vertical="center" wrapText="1"/>
    </xf>
    <xf numFmtId="0" fontId="5" fillId="15" borderId="118" xfId="1" applyFont="1" applyFill="1" applyBorder="1" applyAlignment="1" applyProtection="1">
      <alignment horizontal="center" vertical="center" wrapText="1"/>
    </xf>
    <xf numFmtId="0" fontId="5" fillId="15" borderId="119" xfId="1" applyFont="1" applyFill="1" applyBorder="1" applyAlignment="1" applyProtection="1">
      <alignment horizontal="center" vertical="center" wrapText="1"/>
    </xf>
    <xf numFmtId="0" fontId="5" fillId="15" borderId="120" xfId="1" applyFont="1" applyFill="1" applyBorder="1" applyAlignment="1" applyProtection="1">
      <alignment horizontal="center" vertical="center" wrapText="1"/>
    </xf>
    <xf numFmtId="0" fontId="88" fillId="10" borderId="0" xfId="0" applyFont="1" applyFill="1" applyAlignment="1">
      <alignment horizontal="center" vertical="center"/>
    </xf>
    <xf numFmtId="0" fontId="98" fillId="26" borderId="114" xfId="1" applyFont="1" applyFill="1" applyBorder="1" applyAlignment="1" applyProtection="1">
      <alignment horizontal="center" vertical="center"/>
    </xf>
    <xf numFmtId="0" fontId="98" fillId="26" borderId="115" xfId="1" applyFont="1" applyFill="1" applyBorder="1" applyAlignment="1" applyProtection="1">
      <alignment horizontal="center" vertical="center"/>
    </xf>
    <xf numFmtId="0" fontId="166" fillId="22" borderId="121" xfId="1" applyFont="1" applyFill="1" applyBorder="1" applyAlignment="1" applyProtection="1">
      <alignment horizontal="center" vertical="center"/>
    </xf>
    <xf numFmtId="0" fontId="166" fillId="22" borderId="122" xfId="1" applyFont="1" applyFill="1" applyBorder="1" applyAlignment="1" applyProtection="1">
      <alignment horizontal="center" vertical="center"/>
    </xf>
    <xf numFmtId="0" fontId="166" fillId="22" borderId="123" xfId="1" applyFont="1" applyFill="1" applyBorder="1" applyAlignment="1" applyProtection="1">
      <alignment horizontal="center" vertical="center"/>
    </xf>
    <xf numFmtId="0" fontId="166" fillId="22" borderId="124" xfId="1" applyFont="1" applyFill="1" applyBorder="1" applyAlignment="1" applyProtection="1">
      <alignment horizontal="center" vertical="center"/>
    </xf>
    <xf numFmtId="0" fontId="166" fillId="31" borderId="125" xfId="1" applyFont="1" applyFill="1" applyBorder="1" applyAlignment="1" applyProtection="1">
      <alignment horizontal="center" vertical="center"/>
    </xf>
    <xf numFmtId="0" fontId="166" fillId="31" borderId="126" xfId="1" applyFont="1" applyFill="1" applyBorder="1" applyAlignment="1" applyProtection="1">
      <alignment horizontal="center" vertical="center"/>
    </xf>
    <xf numFmtId="0" fontId="166" fillId="31" borderId="127" xfId="1" applyFont="1" applyFill="1" applyBorder="1" applyAlignment="1" applyProtection="1">
      <alignment horizontal="center" vertical="center"/>
    </xf>
    <xf numFmtId="0" fontId="166" fillId="31" borderId="128" xfId="1" applyFont="1" applyFill="1" applyBorder="1" applyAlignment="1" applyProtection="1">
      <alignment horizontal="center" vertical="center"/>
    </xf>
    <xf numFmtId="0" fontId="153" fillId="35" borderId="4" xfId="0" applyFont="1" applyFill="1" applyBorder="1" applyAlignment="1">
      <alignment horizontal="center"/>
    </xf>
    <xf numFmtId="0" fontId="153" fillId="35" borderId="47" xfId="0" applyFont="1" applyFill="1" applyBorder="1" applyAlignment="1">
      <alignment horizontal="center"/>
    </xf>
    <xf numFmtId="0" fontId="153" fillId="35" borderId="138" xfId="0" applyFont="1" applyFill="1" applyBorder="1" applyAlignment="1">
      <alignment horizontal="center"/>
    </xf>
    <xf numFmtId="3" fontId="126" fillId="0" borderId="131" xfId="0" applyNumberFormat="1" applyFont="1" applyBorder="1" applyAlignment="1">
      <alignment horizontal="center" vertical="center" wrapText="1"/>
    </xf>
    <xf numFmtId="3" fontId="126" fillId="0" borderId="132" xfId="0" applyNumberFormat="1" applyFont="1" applyBorder="1" applyAlignment="1">
      <alignment horizontal="center" vertical="center" wrapText="1"/>
    </xf>
    <xf numFmtId="3" fontId="126" fillId="0" borderId="103" xfId="0" applyNumberFormat="1" applyFont="1" applyBorder="1" applyAlignment="1">
      <alignment horizontal="center" vertical="center" wrapText="1"/>
    </xf>
    <xf numFmtId="0" fontId="12" fillId="15" borderId="0" xfId="1" applyFont="1" applyFill="1" applyAlignment="1" applyProtection="1">
      <alignment horizontal="center" vertical="center" textRotation="90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3" fillId="0" borderId="4" xfId="0" applyFont="1" applyFill="1" applyBorder="1" applyAlignment="1">
      <alignment horizontal="center" vertical="center"/>
    </xf>
    <xf numFmtId="0" fontId="148" fillId="0" borderId="47" xfId="0" applyFont="1" applyFill="1" applyBorder="1" applyAlignment="1">
      <alignment horizontal="center" vertical="center"/>
    </xf>
    <xf numFmtId="0" fontId="143" fillId="0" borderId="47" xfId="0" applyFont="1" applyFill="1" applyBorder="1" applyAlignment="1">
      <alignment horizontal="center" vertical="center"/>
    </xf>
    <xf numFmtId="0" fontId="148" fillId="0" borderId="78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center" vertical="center" textRotation="90"/>
    </xf>
    <xf numFmtId="0" fontId="12" fillId="0" borderId="134" xfId="0" applyFont="1" applyFill="1" applyBorder="1" applyAlignment="1">
      <alignment horizontal="center" vertical="center" textRotation="90"/>
    </xf>
    <xf numFmtId="0" fontId="12" fillId="0" borderId="135" xfId="0" applyFont="1" applyFill="1" applyBorder="1" applyAlignment="1">
      <alignment horizontal="center" vertical="center" textRotation="90"/>
    </xf>
    <xf numFmtId="0" fontId="157" fillId="0" borderId="104" xfId="0" applyFont="1" applyFill="1" applyBorder="1" applyAlignment="1" applyProtection="1">
      <alignment horizontal="center" vertical="center" textRotation="90"/>
      <protection locked="0"/>
    </xf>
    <xf numFmtId="0" fontId="157" fillId="0" borderId="88" xfId="0" applyFont="1" applyFill="1" applyBorder="1" applyAlignment="1" applyProtection="1">
      <alignment horizontal="center" vertical="center" textRotation="90"/>
      <protection locked="0"/>
    </xf>
    <xf numFmtId="0" fontId="157" fillId="0" borderId="84" xfId="0" applyFont="1" applyFill="1" applyBorder="1" applyAlignment="1" applyProtection="1">
      <alignment horizontal="center" vertical="center" textRotation="90"/>
      <protection locked="0"/>
    </xf>
    <xf numFmtId="3" fontId="147" fillId="0" borderId="131" xfId="0" applyNumberFormat="1" applyFont="1" applyBorder="1" applyAlignment="1">
      <alignment horizontal="center" vertical="center" wrapText="1"/>
    </xf>
    <xf numFmtId="3" fontId="147" fillId="0" borderId="132" xfId="0" applyNumberFormat="1" applyFont="1" applyBorder="1" applyAlignment="1">
      <alignment horizontal="center" vertical="center" wrapText="1"/>
    </xf>
    <xf numFmtId="3" fontId="147" fillId="0" borderId="103" xfId="0" applyNumberFormat="1" applyFont="1" applyBorder="1" applyAlignment="1">
      <alignment horizontal="center" vertical="center" wrapText="1"/>
    </xf>
    <xf numFmtId="3" fontId="147" fillId="0" borderId="40" xfId="0" applyNumberFormat="1" applyFont="1" applyFill="1" applyBorder="1" applyAlignment="1">
      <alignment horizontal="center" vertical="center" wrapText="1"/>
    </xf>
    <xf numFmtId="3" fontId="147" fillId="0" borderId="11" xfId="0" applyNumberFormat="1" applyFont="1" applyFill="1" applyBorder="1" applyAlignment="1">
      <alignment horizontal="center" vertical="center" wrapText="1"/>
    </xf>
    <xf numFmtId="3" fontId="147" fillId="0" borderId="5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01" xfId="0" applyFont="1" applyFill="1" applyBorder="1" applyAlignment="1">
      <alignment horizontal="center" vertical="center" textRotation="90"/>
    </xf>
    <xf numFmtId="0" fontId="12" fillId="0" borderId="91" xfId="0" applyFont="1" applyFill="1" applyBorder="1" applyAlignment="1">
      <alignment horizontal="center" vertical="center" textRotation="90"/>
    </xf>
    <xf numFmtId="0" fontId="157" fillId="0" borderId="81" xfId="0" applyFont="1" applyFill="1" applyBorder="1" applyAlignment="1" applyProtection="1">
      <alignment horizontal="center" vertical="center" textRotation="90"/>
      <protection locked="0"/>
    </xf>
    <xf numFmtId="0" fontId="157" fillId="0" borderId="16" xfId="0" applyFont="1" applyFill="1" applyBorder="1" applyAlignment="1" applyProtection="1">
      <alignment horizontal="center" vertical="center" textRotation="90"/>
      <protection locked="0"/>
    </xf>
    <xf numFmtId="0" fontId="157" fillId="0" borderId="86" xfId="0" applyFont="1" applyFill="1" applyBorder="1" applyAlignment="1" applyProtection="1">
      <alignment horizontal="center" vertical="center" textRotation="90"/>
      <protection locked="0"/>
    </xf>
    <xf numFmtId="3" fontId="147" fillId="0" borderId="40" xfId="0" applyNumberFormat="1" applyFont="1" applyBorder="1" applyAlignment="1">
      <alignment horizontal="center" vertical="center" wrapText="1"/>
    </xf>
    <xf numFmtId="3" fontId="147" fillId="0" borderId="11" xfId="0" applyNumberFormat="1" applyFont="1" applyBorder="1" applyAlignment="1">
      <alignment horizontal="center" vertical="center" wrapText="1"/>
    </xf>
    <xf numFmtId="3" fontId="147" fillId="0" borderId="5" xfId="0" applyNumberFormat="1" applyFont="1" applyBorder="1" applyAlignment="1">
      <alignment horizontal="center" vertical="center" wrapText="1"/>
    </xf>
    <xf numFmtId="3" fontId="3" fillId="7" borderId="47" xfId="0" applyNumberFormat="1" applyFont="1" applyFill="1" applyBorder="1" applyAlignment="1">
      <alignment horizontal="center" vertical="center" wrapText="1"/>
    </xf>
    <xf numFmtId="0" fontId="3" fillId="0" borderId="104" xfId="0" applyFont="1" applyFill="1" applyBorder="1" applyAlignment="1" applyProtection="1">
      <alignment horizontal="center" vertical="center" textRotation="90"/>
      <protection locked="0"/>
    </xf>
    <xf numFmtId="0" fontId="3" fillId="0" borderId="88" xfId="0" applyFont="1" applyFill="1" applyBorder="1" applyAlignment="1" applyProtection="1">
      <alignment horizontal="center" vertical="center" textRotation="90"/>
      <protection locked="0"/>
    </xf>
    <xf numFmtId="0" fontId="3" fillId="0" borderId="84" xfId="0" applyFont="1" applyFill="1" applyBorder="1" applyAlignment="1" applyProtection="1">
      <alignment horizontal="center" vertical="center" textRotation="90"/>
      <protection locked="0"/>
    </xf>
    <xf numFmtId="0" fontId="156" fillId="0" borderId="104" xfId="0" applyFont="1" applyFill="1" applyBorder="1" applyAlignment="1" applyProtection="1">
      <alignment horizontal="center" vertical="center" textRotation="90"/>
      <protection locked="0"/>
    </xf>
    <xf numFmtId="0" fontId="156" fillId="0" borderId="88" xfId="0" applyFont="1" applyFill="1" applyBorder="1" applyAlignment="1" applyProtection="1">
      <alignment horizontal="center" vertical="center" textRotation="90"/>
      <protection locked="0"/>
    </xf>
    <xf numFmtId="0" fontId="156" fillId="0" borderId="84" xfId="0" applyFont="1" applyFill="1" applyBorder="1" applyAlignment="1" applyProtection="1">
      <alignment horizontal="center" vertical="center" textRotation="90"/>
      <protection locked="0"/>
    </xf>
    <xf numFmtId="0" fontId="159" fillId="0" borderId="104" xfId="0" applyFont="1" applyFill="1" applyBorder="1" applyAlignment="1" applyProtection="1">
      <alignment horizontal="center" vertical="center" textRotation="90"/>
      <protection locked="0"/>
    </xf>
    <xf numFmtId="0" fontId="159" fillId="0" borderId="88" xfId="0" applyFont="1" applyFill="1" applyBorder="1" applyAlignment="1" applyProtection="1">
      <alignment horizontal="center" vertical="center" textRotation="90"/>
      <protection locked="0"/>
    </xf>
    <xf numFmtId="0" fontId="159" fillId="0" borderId="84" xfId="0" applyFont="1" applyFill="1" applyBorder="1" applyAlignment="1" applyProtection="1">
      <alignment horizontal="center" vertical="center" textRotation="90"/>
      <protection locked="0"/>
    </xf>
    <xf numFmtId="0" fontId="158" fillId="0" borderId="104" xfId="0" applyFont="1" applyFill="1" applyBorder="1" applyAlignment="1" applyProtection="1">
      <alignment horizontal="center" vertical="center" textRotation="90"/>
      <protection locked="0"/>
    </xf>
    <xf numFmtId="0" fontId="158" fillId="0" borderId="88" xfId="0" applyFont="1" applyFill="1" applyBorder="1" applyAlignment="1" applyProtection="1">
      <alignment horizontal="center" vertical="center" textRotation="90"/>
      <protection locked="0"/>
    </xf>
    <xf numFmtId="0" fontId="158" fillId="0" borderId="84" xfId="0" applyFont="1" applyFill="1" applyBorder="1" applyAlignment="1" applyProtection="1">
      <alignment horizontal="center" vertical="center" textRotation="90"/>
      <protection locked="0"/>
    </xf>
    <xf numFmtId="3" fontId="3" fillId="28" borderId="12" xfId="0" applyNumberFormat="1" applyFont="1" applyFill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textRotation="90" wrapText="1"/>
    </xf>
    <xf numFmtId="0" fontId="3" fillId="0" borderId="132" xfId="0" applyFont="1" applyBorder="1" applyAlignment="1">
      <alignment horizontal="center" vertical="center" textRotation="90" wrapText="1"/>
    </xf>
    <xf numFmtId="0" fontId="3" fillId="0" borderId="103" xfId="0" applyFont="1" applyBorder="1" applyAlignment="1">
      <alignment horizontal="center" vertical="center" textRotation="90" wrapText="1"/>
    </xf>
    <xf numFmtId="0" fontId="167" fillId="35" borderId="4" xfId="0" applyFont="1" applyFill="1" applyBorder="1" applyAlignment="1">
      <alignment horizontal="center"/>
    </xf>
    <xf numFmtId="0" fontId="167" fillId="35" borderId="47" xfId="0" applyFont="1" applyFill="1" applyBorder="1" applyAlignment="1">
      <alignment horizontal="center"/>
    </xf>
    <xf numFmtId="0" fontId="167" fillId="35" borderId="138" xfId="0" applyFont="1" applyFill="1" applyBorder="1" applyAlignment="1">
      <alignment horizontal="center"/>
    </xf>
    <xf numFmtId="0" fontId="23" fillId="36" borderId="4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 vertical="center"/>
    </xf>
    <xf numFmtId="0" fontId="23" fillId="36" borderId="79" xfId="0" applyFont="1" applyFill="1" applyBorder="1" applyAlignment="1">
      <alignment horizontal="center" vertical="center"/>
    </xf>
    <xf numFmtId="0" fontId="12" fillId="27" borderId="0" xfId="1" applyFont="1" applyFill="1" applyAlignment="1" applyProtection="1">
      <alignment horizontal="center" vertical="center" textRotation="90"/>
      <protection locked="0"/>
    </xf>
    <xf numFmtId="0" fontId="156" fillId="0" borderId="81" xfId="0" applyFont="1" applyFill="1" applyBorder="1" applyAlignment="1" applyProtection="1">
      <alignment horizontal="center" vertical="center" textRotation="90"/>
      <protection locked="0"/>
    </xf>
    <xf numFmtId="0" fontId="156" fillId="0" borderId="16" xfId="0" applyFont="1" applyFill="1" applyBorder="1" applyAlignment="1" applyProtection="1">
      <alignment horizontal="center" vertical="center" textRotation="90"/>
      <protection locked="0"/>
    </xf>
    <xf numFmtId="0" fontId="156" fillId="0" borderId="86" xfId="0" applyFont="1" applyFill="1" applyBorder="1" applyAlignment="1" applyProtection="1">
      <alignment horizontal="center" vertical="center" textRotation="90"/>
      <protection locked="0"/>
    </xf>
    <xf numFmtId="0" fontId="3" fillId="12" borderId="36" xfId="0" applyFont="1" applyFill="1" applyBorder="1" applyAlignment="1">
      <alignment horizontal="center" vertical="center"/>
    </xf>
    <xf numFmtId="0" fontId="3" fillId="12" borderId="136" xfId="0" applyFont="1" applyFill="1" applyBorder="1" applyAlignment="1">
      <alignment horizontal="center" vertical="center"/>
    </xf>
    <xf numFmtId="0" fontId="3" fillId="12" borderId="137" xfId="0" applyFont="1" applyFill="1" applyBorder="1" applyAlignment="1">
      <alignment horizontal="center" vertical="center"/>
    </xf>
    <xf numFmtId="0" fontId="17" fillId="12" borderId="36" xfId="0" applyFont="1" applyFill="1" applyBorder="1" applyAlignment="1">
      <alignment horizontal="center"/>
    </xf>
    <xf numFmtId="0" fontId="17" fillId="12" borderId="136" xfId="0" applyFont="1" applyFill="1" applyBorder="1" applyAlignment="1">
      <alignment horizontal="center"/>
    </xf>
    <xf numFmtId="0" fontId="17" fillId="12" borderId="137" xfId="0" applyFont="1" applyFill="1" applyBorder="1" applyAlignment="1">
      <alignment horizontal="center"/>
    </xf>
    <xf numFmtId="0" fontId="17" fillId="12" borderId="36" xfId="0" applyFont="1" applyFill="1" applyBorder="1" applyAlignment="1">
      <alignment horizontal="center" vertical="center"/>
    </xf>
    <xf numFmtId="0" fontId="17" fillId="12" borderId="136" xfId="0" applyFont="1" applyFill="1" applyBorder="1" applyAlignment="1">
      <alignment horizontal="center" vertical="center"/>
    </xf>
    <xf numFmtId="0" fontId="17" fillId="12" borderId="137" xfId="0" applyFont="1" applyFill="1" applyBorder="1" applyAlignment="1">
      <alignment horizontal="center" vertical="center"/>
    </xf>
  </cellXfs>
  <cellStyles count="74">
    <cellStyle name="Hypertextový odkaz" xfId="1" builtinId="8"/>
    <cellStyle name="normální" xfId="0" builtinId="0"/>
    <cellStyle name="normální 10" xfId="2"/>
    <cellStyle name="normální 11" xfId="3"/>
    <cellStyle name="normální 12" xfId="4"/>
    <cellStyle name="normální 13" xfId="5"/>
    <cellStyle name="normální 14" xfId="6"/>
    <cellStyle name="normální 15" xfId="7"/>
    <cellStyle name="normální 15 2" xfId="8"/>
    <cellStyle name="normální 2" xfId="9"/>
    <cellStyle name="normální 2 2" xfId="10"/>
    <cellStyle name="normální 2 2 2" xfId="11"/>
    <cellStyle name="normální 2 2 2 2" xfId="12"/>
    <cellStyle name="normální 2 2 2 2 2" xfId="13"/>
    <cellStyle name="normální 2 2 2 2 3" xfId="14"/>
    <cellStyle name="normální 2 2 2 2 4" xfId="15"/>
    <cellStyle name="normální 2 2 2 2 5" xfId="16"/>
    <cellStyle name="normální 2 2 2 3" xfId="17"/>
    <cellStyle name="normální 2 2 2 4" xfId="18"/>
    <cellStyle name="normální 2 2 2 5" xfId="19"/>
    <cellStyle name="normální 2 2 3" xfId="20"/>
    <cellStyle name="normální 2 2 4" xfId="21"/>
    <cellStyle name="normální 2 2 5" xfId="22"/>
    <cellStyle name="normální 2 2 6" xfId="23"/>
    <cellStyle name="normální 2 2 7" xfId="24"/>
    <cellStyle name="normální 2 2 8" xfId="25"/>
    <cellStyle name="normální 2 2 9" xfId="26"/>
    <cellStyle name="normální 2 3" xfId="27"/>
    <cellStyle name="normální 2 3 2" xfId="28"/>
    <cellStyle name="normální 2 3 2 2" xfId="29"/>
    <cellStyle name="normální 2 3 2 3" xfId="30"/>
    <cellStyle name="normální 2 3 2 4" xfId="31"/>
    <cellStyle name="normální 2 3 2 5" xfId="32"/>
    <cellStyle name="normální 2 3 3" xfId="33"/>
    <cellStyle name="normální 2 3 4" xfId="34"/>
    <cellStyle name="normální 2 3 5" xfId="35"/>
    <cellStyle name="normální 2 4" xfId="36"/>
    <cellStyle name="normální 2 4 2" xfId="37"/>
    <cellStyle name="normální 2 4 3" xfId="38"/>
    <cellStyle name="normální 2 4 4" xfId="39"/>
    <cellStyle name="normální 2 4 5" xfId="40"/>
    <cellStyle name="normální 2 5" xfId="41"/>
    <cellStyle name="normální 2 5 2" xfId="42"/>
    <cellStyle name="normální 2 5 3" xfId="43"/>
    <cellStyle name="normální 2 5 4" xfId="44"/>
    <cellStyle name="normální 2 5 5" xfId="45"/>
    <cellStyle name="normální 2 6" xfId="46"/>
    <cellStyle name="normální 2 6 2" xfId="47"/>
    <cellStyle name="normální 2 7" xfId="48"/>
    <cellStyle name="normální 2 7 2" xfId="49"/>
    <cellStyle name="normální 2 8" xfId="50"/>
    <cellStyle name="normální 2 8 2" xfId="51"/>
    <cellStyle name="normální 2 9" xfId="52"/>
    <cellStyle name="normální 2 9 2" xfId="53"/>
    <cellStyle name="normální 3" xfId="54"/>
    <cellStyle name="normální 3 2" xfId="55"/>
    <cellStyle name="normální 4" xfId="56"/>
    <cellStyle name="normální 4 2" xfId="57"/>
    <cellStyle name="normální 4 3" xfId="58"/>
    <cellStyle name="normální 4 4" xfId="59"/>
    <cellStyle name="normální 5" xfId="60"/>
    <cellStyle name="normální 5 2" xfId="61"/>
    <cellStyle name="normální 5 3" xfId="62"/>
    <cellStyle name="normální 5 3 2" xfId="63"/>
    <cellStyle name="normální 5 4" xfId="64"/>
    <cellStyle name="normální 5 4 2" xfId="65"/>
    <cellStyle name="normální 5 5" xfId="66"/>
    <cellStyle name="normální 6" xfId="67"/>
    <cellStyle name="normální 6 2" xfId="68"/>
    <cellStyle name="normální 7" xfId="69"/>
    <cellStyle name="normální 7 2" xfId="70"/>
    <cellStyle name="normální 8" xfId="71"/>
    <cellStyle name="normální 9" xfId="72"/>
    <cellStyle name="normální 9 2" xfId="73"/>
  </cellStyles>
  <dxfs count="50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76200</xdr:rowOff>
    </xdr:from>
    <xdr:to>
      <xdr:col>2</xdr:col>
      <xdr:colOff>1028700</xdr:colOff>
      <xdr:row>2</xdr:row>
      <xdr:rowOff>1295400</xdr:rowOff>
    </xdr:to>
    <xdr:pic>
      <xdr:nvPicPr>
        <xdr:cNvPr id="353651" name="Picture 1" descr="logo odbory pos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81025"/>
          <a:ext cx="1114425" cy="12192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114300</xdr:rowOff>
    </xdr:from>
    <xdr:to>
      <xdr:col>2</xdr:col>
      <xdr:colOff>19050</xdr:colOff>
      <xdr:row>49</xdr:row>
      <xdr:rowOff>38100</xdr:rowOff>
    </xdr:to>
    <xdr:sp macro="" textlink="">
      <xdr:nvSpPr>
        <xdr:cNvPr id="353652" name="Rectangle 27"/>
        <xdr:cNvSpPr>
          <a:spLocks noChangeArrowheads="1"/>
        </xdr:cNvSpPr>
      </xdr:nvSpPr>
      <xdr:spPr bwMode="auto">
        <a:xfrm>
          <a:off x="419100" y="9315450"/>
          <a:ext cx="190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152400</xdr:rowOff>
    </xdr:from>
    <xdr:to>
      <xdr:col>2</xdr:col>
      <xdr:colOff>19050</xdr:colOff>
      <xdr:row>49</xdr:row>
      <xdr:rowOff>142875</xdr:rowOff>
    </xdr:to>
    <xdr:sp macro="" textlink="">
      <xdr:nvSpPr>
        <xdr:cNvPr id="353653" name="Rectangle 28"/>
        <xdr:cNvSpPr>
          <a:spLocks noChangeArrowheads="1"/>
        </xdr:cNvSpPr>
      </xdr:nvSpPr>
      <xdr:spPr bwMode="auto">
        <a:xfrm>
          <a:off x="419100" y="93535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9968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9969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9970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9971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76200</xdr:rowOff>
    </xdr:from>
    <xdr:to>
      <xdr:col>0</xdr:col>
      <xdr:colOff>19050</xdr:colOff>
      <xdr:row>28</xdr:row>
      <xdr:rowOff>38100</xdr:rowOff>
    </xdr:to>
    <xdr:sp macro="" textlink="">
      <xdr:nvSpPr>
        <xdr:cNvPr id="370931" name="Rectangle 28"/>
        <xdr:cNvSpPr>
          <a:spLocks noChangeArrowheads="1"/>
        </xdr:cNvSpPr>
      </xdr:nvSpPr>
      <xdr:spPr bwMode="auto">
        <a:xfrm>
          <a:off x="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76200</xdr:rowOff>
    </xdr:from>
    <xdr:to>
      <xdr:col>0</xdr:col>
      <xdr:colOff>19050</xdr:colOff>
      <xdr:row>28</xdr:row>
      <xdr:rowOff>38100</xdr:rowOff>
    </xdr:to>
    <xdr:sp macro="" textlink="">
      <xdr:nvSpPr>
        <xdr:cNvPr id="370932" name="Rectangle 28"/>
        <xdr:cNvSpPr>
          <a:spLocks noChangeArrowheads="1"/>
        </xdr:cNvSpPr>
      </xdr:nvSpPr>
      <xdr:spPr bwMode="auto">
        <a:xfrm>
          <a:off x="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142875</xdr:rowOff>
    </xdr:from>
    <xdr:to>
      <xdr:col>0</xdr:col>
      <xdr:colOff>19050</xdr:colOff>
      <xdr:row>58</xdr:row>
      <xdr:rowOff>104775</xdr:rowOff>
    </xdr:to>
    <xdr:sp macro="" textlink="">
      <xdr:nvSpPr>
        <xdr:cNvPr id="370933" name="Rectangle 27"/>
        <xdr:cNvSpPr>
          <a:spLocks noChangeArrowheads="1"/>
        </xdr:cNvSpPr>
      </xdr:nvSpPr>
      <xdr:spPr bwMode="auto">
        <a:xfrm>
          <a:off x="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36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37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38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39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40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66675</xdr:rowOff>
    </xdr:to>
    <xdr:sp macro="" textlink="">
      <xdr:nvSpPr>
        <xdr:cNvPr id="385141" name="Rectangle 28"/>
        <xdr:cNvSpPr>
          <a:spLocks noChangeArrowheads="1"/>
        </xdr:cNvSpPr>
      </xdr:nvSpPr>
      <xdr:spPr bwMode="auto">
        <a:xfrm>
          <a:off x="2781300" y="4724400"/>
          <a:ext cx="400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42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3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4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5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6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7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66675</xdr:rowOff>
    </xdr:to>
    <xdr:sp macro="" textlink="">
      <xdr:nvSpPr>
        <xdr:cNvPr id="385148" name="Rectangle 28"/>
        <xdr:cNvSpPr>
          <a:spLocks noChangeArrowheads="1"/>
        </xdr:cNvSpPr>
      </xdr:nvSpPr>
      <xdr:spPr bwMode="auto">
        <a:xfrm>
          <a:off x="2781300" y="4343400"/>
          <a:ext cx="400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49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0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1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2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3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4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66675</xdr:rowOff>
    </xdr:to>
    <xdr:sp macro="" textlink="">
      <xdr:nvSpPr>
        <xdr:cNvPr id="385155" name="Rectangle 28"/>
        <xdr:cNvSpPr>
          <a:spLocks noChangeArrowheads="1"/>
        </xdr:cNvSpPr>
      </xdr:nvSpPr>
      <xdr:spPr bwMode="auto">
        <a:xfrm>
          <a:off x="2781300" y="4724400"/>
          <a:ext cx="400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38100</xdr:rowOff>
    </xdr:to>
    <xdr:sp macro="" textlink="">
      <xdr:nvSpPr>
        <xdr:cNvPr id="385156" name="Rectangle 28"/>
        <xdr:cNvSpPr>
          <a:spLocks noChangeArrowheads="1"/>
        </xdr:cNvSpPr>
      </xdr:nvSpPr>
      <xdr:spPr bwMode="auto">
        <a:xfrm>
          <a:off x="2781300" y="4724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57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58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59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60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61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66675</xdr:rowOff>
    </xdr:to>
    <xdr:sp macro="" textlink="">
      <xdr:nvSpPr>
        <xdr:cNvPr id="385162" name="Rectangle 28"/>
        <xdr:cNvSpPr>
          <a:spLocks noChangeArrowheads="1"/>
        </xdr:cNvSpPr>
      </xdr:nvSpPr>
      <xdr:spPr bwMode="auto">
        <a:xfrm>
          <a:off x="2781300" y="4343400"/>
          <a:ext cx="400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38100</xdr:rowOff>
    </xdr:to>
    <xdr:sp macro="" textlink="">
      <xdr:nvSpPr>
        <xdr:cNvPr id="385163" name="Rectangle 28"/>
        <xdr:cNvSpPr>
          <a:spLocks noChangeArrowheads="1"/>
        </xdr:cNvSpPr>
      </xdr:nvSpPr>
      <xdr:spPr bwMode="auto">
        <a:xfrm>
          <a:off x="2781300" y="4343400"/>
          <a:ext cx="400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540385</xdr:colOff>
      <xdr:row>11</xdr:row>
      <xdr:rowOff>47625</xdr:rowOff>
    </xdr:from>
    <xdr:to>
      <xdr:col>15</xdr:col>
      <xdr:colOff>1049502</xdr:colOff>
      <xdr:row>11</xdr:row>
      <xdr:rowOff>169863</xdr:rowOff>
    </xdr:to>
    <xdr:sp macro="" textlink="">
      <xdr:nvSpPr>
        <xdr:cNvPr id="3" name="Šipka doleva 2"/>
        <xdr:cNvSpPr/>
      </xdr:nvSpPr>
      <xdr:spPr>
        <a:xfrm>
          <a:off x="11055985" y="2854325"/>
          <a:ext cx="509117" cy="122238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570865</xdr:colOff>
      <xdr:row>3</xdr:row>
      <xdr:rowOff>45720</xdr:rowOff>
    </xdr:from>
    <xdr:to>
      <xdr:col>15</xdr:col>
      <xdr:colOff>1097308</xdr:colOff>
      <xdr:row>3</xdr:row>
      <xdr:rowOff>185420</xdr:rowOff>
    </xdr:to>
    <xdr:sp macro="" textlink="">
      <xdr:nvSpPr>
        <xdr:cNvPr id="4" name="Šipka doleva 3"/>
        <xdr:cNvSpPr/>
      </xdr:nvSpPr>
      <xdr:spPr>
        <a:xfrm>
          <a:off x="11086465" y="1226820"/>
          <a:ext cx="526443" cy="1397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540385</xdr:colOff>
      <xdr:row>23</xdr:row>
      <xdr:rowOff>33655</xdr:rowOff>
    </xdr:from>
    <xdr:to>
      <xdr:col>15</xdr:col>
      <xdr:colOff>1049692</xdr:colOff>
      <xdr:row>23</xdr:row>
      <xdr:rowOff>171900</xdr:rowOff>
    </xdr:to>
    <xdr:sp macro="" textlink="">
      <xdr:nvSpPr>
        <xdr:cNvPr id="5" name="Šipka doleva 4"/>
        <xdr:cNvSpPr/>
      </xdr:nvSpPr>
      <xdr:spPr>
        <a:xfrm>
          <a:off x="11055985" y="5278755"/>
          <a:ext cx="509307" cy="138245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562610</xdr:colOff>
      <xdr:row>27</xdr:row>
      <xdr:rowOff>44450</xdr:rowOff>
    </xdr:from>
    <xdr:to>
      <xdr:col>15</xdr:col>
      <xdr:colOff>1081137</xdr:colOff>
      <xdr:row>27</xdr:row>
      <xdr:rowOff>174837</xdr:rowOff>
    </xdr:to>
    <xdr:sp macro="" textlink="">
      <xdr:nvSpPr>
        <xdr:cNvPr id="6" name="Šipka doleva 5"/>
        <xdr:cNvSpPr/>
      </xdr:nvSpPr>
      <xdr:spPr>
        <a:xfrm>
          <a:off x="11078210" y="6102350"/>
          <a:ext cx="518527" cy="130387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527685</xdr:colOff>
      <xdr:row>15</xdr:row>
      <xdr:rowOff>45720</xdr:rowOff>
    </xdr:from>
    <xdr:to>
      <xdr:col>15</xdr:col>
      <xdr:colOff>1046327</xdr:colOff>
      <xdr:row>15</xdr:row>
      <xdr:rowOff>168863</xdr:rowOff>
    </xdr:to>
    <xdr:sp macro="" textlink="">
      <xdr:nvSpPr>
        <xdr:cNvPr id="166" name="Šipka doleva 165"/>
        <xdr:cNvSpPr/>
      </xdr:nvSpPr>
      <xdr:spPr>
        <a:xfrm>
          <a:off x="11043285" y="3665220"/>
          <a:ext cx="518642" cy="123143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523240</xdr:colOff>
      <xdr:row>19</xdr:row>
      <xdr:rowOff>44450</xdr:rowOff>
    </xdr:from>
    <xdr:to>
      <xdr:col>15</xdr:col>
      <xdr:colOff>1059208</xdr:colOff>
      <xdr:row>19</xdr:row>
      <xdr:rowOff>166688</xdr:rowOff>
    </xdr:to>
    <xdr:sp macro="" textlink="">
      <xdr:nvSpPr>
        <xdr:cNvPr id="1797" name="Šipka doleva 1796"/>
        <xdr:cNvSpPr/>
      </xdr:nvSpPr>
      <xdr:spPr>
        <a:xfrm>
          <a:off x="11038840" y="4476750"/>
          <a:ext cx="535968" cy="122238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532765</xdr:colOff>
      <xdr:row>7</xdr:row>
      <xdr:rowOff>43180</xdr:rowOff>
    </xdr:from>
    <xdr:to>
      <xdr:col>15</xdr:col>
      <xdr:colOff>1051407</xdr:colOff>
      <xdr:row>7</xdr:row>
      <xdr:rowOff>181425</xdr:rowOff>
    </xdr:to>
    <xdr:sp macro="" textlink="">
      <xdr:nvSpPr>
        <xdr:cNvPr id="1799" name="Šipka doleva 1798"/>
        <xdr:cNvSpPr/>
      </xdr:nvSpPr>
      <xdr:spPr>
        <a:xfrm>
          <a:off x="11048365" y="2037080"/>
          <a:ext cx="518642" cy="138245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12701</xdr:colOff>
      <xdr:row>11</xdr:row>
      <xdr:rowOff>157691</xdr:rowOff>
    </xdr:from>
    <xdr:to>
      <xdr:col>7</xdr:col>
      <xdr:colOff>200025</xdr:colOff>
      <xdr:row>14</xdr:row>
      <xdr:rowOff>30691</xdr:rowOff>
    </xdr:to>
    <xdr:sp macro="" textlink="">
      <xdr:nvSpPr>
        <xdr:cNvPr id="204" name="Zaoblený obdélník 203"/>
        <xdr:cNvSpPr/>
      </xdr:nvSpPr>
      <xdr:spPr bwMode="auto">
        <a:xfrm>
          <a:off x="3060701" y="2338916"/>
          <a:ext cx="1406524" cy="444500"/>
        </a:xfrm>
        <a:prstGeom prst="round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cs-CZ" sz="1800" b="1">
              <a:solidFill>
                <a:srgbClr val="FF0000"/>
              </a:solidFill>
            </a:rPr>
            <a:t>Klikni</a:t>
          </a:r>
        </a:p>
      </xdr:txBody>
    </xdr:sp>
    <xdr:clientData/>
  </xdr:twoCellAnchor>
  <xdr:twoCellAnchor editAs="oneCell">
    <xdr:from>
      <xdr:col>13</xdr:col>
      <xdr:colOff>0</xdr:colOff>
      <xdr:row>27</xdr:row>
      <xdr:rowOff>76200</xdr:rowOff>
    </xdr:from>
    <xdr:to>
      <xdr:col>13</xdr:col>
      <xdr:colOff>19050</xdr:colOff>
      <xdr:row>28</xdr:row>
      <xdr:rowOff>38100</xdr:rowOff>
    </xdr:to>
    <xdr:sp macro="" textlink="">
      <xdr:nvSpPr>
        <xdr:cNvPr id="384069" name="Rectangle 28"/>
        <xdr:cNvSpPr>
          <a:spLocks noChangeArrowheads="1"/>
        </xdr:cNvSpPr>
      </xdr:nvSpPr>
      <xdr:spPr bwMode="auto">
        <a:xfrm>
          <a:off x="906780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</xdr:row>
      <xdr:rowOff>76200</xdr:rowOff>
    </xdr:from>
    <xdr:to>
      <xdr:col>13</xdr:col>
      <xdr:colOff>19050</xdr:colOff>
      <xdr:row>28</xdr:row>
      <xdr:rowOff>38100</xdr:rowOff>
    </xdr:to>
    <xdr:sp macro="" textlink="">
      <xdr:nvSpPr>
        <xdr:cNvPr id="384070" name="Rectangle 28"/>
        <xdr:cNvSpPr>
          <a:spLocks noChangeArrowheads="1"/>
        </xdr:cNvSpPr>
      </xdr:nvSpPr>
      <xdr:spPr bwMode="auto">
        <a:xfrm>
          <a:off x="906780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57</xdr:row>
      <xdr:rowOff>142875</xdr:rowOff>
    </xdr:from>
    <xdr:to>
      <xdr:col>13</xdr:col>
      <xdr:colOff>19050</xdr:colOff>
      <xdr:row>58</xdr:row>
      <xdr:rowOff>104775</xdr:rowOff>
    </xdr:to>
    <xdr:sp macro="" textlink="">
      <xdr:nvSpPr>
        <xdr:cNvPr id="384071" name="Rectangle 27"/>
        <xdr:cNvSpPr>
          <a:spLocks noChangeArrowheads="1"/>
        </xdr:cNvSpPr>
      </xdr:nvSpPr>
      <xdr:spPr bwMode="auto">
        <a:xfrm>
          <a:off x="9067800" y="110775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59</xdr:row>
      <xdr:rowOff>85725</xdr:rowOff>
    </xdr:from>
    <xdr:to>
      <xdr:col>14</xdr:col>
      <xdr:colOff>180975</xdr:colOff>
      <xdr:row>60</xdr:row>
      <xdr:rowOff>57150</xdr:rowOff>
    </xdr:to>
    <xdr:sp macro="" textlink="">
      <xdr:nvSpPr>
        <xdr:cNvPr id="384072" name="Rectangle 27"/>
        <xdr:cNvSpPr>
          <a:spLocks noChangeArrowheads="1"/>
        </xdr:cNvSpPr>
      </xdr:nvSpPr>
      <xdr:spPr bwMode="auto">
        <a:xfrm>
          <a:off x="9067800" y="11401425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7</xdr:row>
      <xdr:rowOff>85725</xdr:rowOff>
    </xdr:from>
    <xdr:to>
      <xdr:col>5</xdr:col>
      <xdr:colOff>1</xdr:colOff>
      <xdr:row>12</xdr:row>
      <xdr:rowOff>180975</xdr:rowOff>
    </xdr:to>
    <xdr:cxnSp macro="">
      <xdr:nvCxnSpPr>
        <xdr:cNvPr id="206" name="Přímá spojovací šipka 205"/>
        <xdr:cNvCxnSpPr/>
      </xdr:nvCxnSpPr>
      <xdr:spPr>
        <a:xfrm flipH="1" flipV="1">
          <a:off x="2486025" y="1495425"/>
          <a:ext cx="561976" cy="104775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13</xdr:row>
      <xdr:rowOff>0</xdr:rowOff>
    </xdr:from>
    <xdr:to>
      <xdr:col>5</xdr:col>
      <xdr:colOff>9525</xdr:colOff>
      <xdr:row>13</xdr:row>
      <xdr:rowOff>1</xdr:rowOff>
    </xdr:to>
    <xdr:cxnSp macro="">
      <xdr:nvCxnSpPr>
        <xdr:cNvPr id="207" name="Přímá spojovací šipka 206"/>
        <xdr:cNvCxnSpPr/>
      </xdr:nvCxnSpPr>
      <xdr:spPr>
        <a:xfrm flipH="1" flipV="1">
          <a:off x="2476500" y="2552700"/>
          <a:ext cx="581025" cy="1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9</xdr:row>
      <xdr:rowOff>38100</xdr:rowOff>
    </xdr:from>
    <xdr:to>
      <xdr:col>4</xdr:col>
      <xdr:colOff>603534</xdr:colOff>
      <xdr:row>13</xdr:row>
      <xdr:rowOff>20475</xdr:rowOff>
    </xdr:to>
    <xdr:cxnSp macro="">
      <xdr:nvCxnSpPr>
        <xdr:cNvPr id="209" name="Přímá spojovací šipka 208"/>
        <xdr:cNvCxnSpPr/>
      </xdr:nvCxnSpPr>
      <xdr:spPr>
        <a:xfrm flipH="1" flipV="1">
          <a:off x="2476500" y="1828800"/>
          <a:ext cx="565434" cy="744375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10584</xdr:colOff>
      <xdr:row>11</xdr:row>
      <xdr:rowOff>2</xdr:rowOff>
    </xdr:from>
    <xdr:to>
      <xdr:col>5</xdr:col>
      <xdr:colOff>9525</xdr:colOff>
      <xdr:row>13</xdr:row>
      <xdr:rowOff>9525</xdr:rowOff>
    </xdr:to>
    <xdr:cxnSp macro="">
      <xdr:nvCxnSpPr>
        <xdr:cNvPr id="212" name="Přímá spojovací šipka 211"/>
        <xdr:cNvCxnSpPr/>
      </xdr:nvCxnSpPr>
      <xdr:spPr>
        <a:xfrm flipH="1" flipV="1">
          <a:off x="2448984" y="2181227"/>
          <a:ext cx="608541" cy="390523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13</xdr:row>
      <xdr:rowOff>0</xdr:rowOff>
    </xdr:from>
    <xdr:to>
      <xdr:col>5</xdr:col>
      <xdr:colOff>9526</xdr:colOff>
      <xdr:row>14</xdr:row>
      <xdr:rowOff>171450</xdr:rowOff>
    </xdr:to>
    <xdr:cxnSp macro="">
      <xdr:nvCxnSpPr>
        <xdr:cNvPr id="215" name="Přímá spojovací šipka 214"/>
        <xdr:cNvCxnSpPr/>
      </xdr:nvCxnSpPr>
      <xdr:spPr>
        <a:xfrm flipH="1">
          <a:off x="2486025" y="2552700"/>
          <a:ext cx="571501" cy="36195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13</xdr:row>
      <xdr:rowOff>9525</xdr:rowOff>
    </xdr:from>
    <xdr:to>
      <xdr:col>5</xdr:col>
      <xdr:colOff>1</xdr:colOff>
      <xdr:row>16</xdr:row>
      <xdr:rowOff>161925</xdr:rowOff>
    </xdr:to>
    <xdr:cxnSp macro="">
      <xdr:nvCxnSpPr>
        <xdr:cNvPr id="218" name="Přímá spojovací šipka 217"/>
        <xdr:cNvCxnSpPr/>
      </xdr:nvCxnSpPr>
      <xdr:spPr>
        <a:xfrm flipH="1">
          <a:off x="2476500" y="2562225"/>
          <a:ext cx="571501" cy="72390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419100</xdr:colOff>
      <xdr:row>5</xdr:row>
      <xdr:rowOff>85725</xdr:rowOff>
    </xdr:from>
    <xdr:to>
      <xdr:col>10</xdr:col>
      <xdr:colOff>304800</xdr:colOff>
      <xdr:row>13</xdr:row>
      <xdr:rowOff>171450</xdr:rowOff>
    </xdr:to>
    <xdr:pic>
      <xdr:nvPicPr>
        <xdr:cNvPr id="384079" name="Obrázek 52" descr="CIa4O73nu6tbJ2ogo-7co18ainO8lP2aR0mRs2-VU6E&amp;width=34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95900" y="1114425"/>
          <a:ext cx="24098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16</xdr:row>
      <xdr:rowOff>142875</xdr:rowOff>
    </xdr:from>
    <xdr:to>
      <xdr:col>8</xdr:col>
      <xdr:colOff>276225</xdr:colOff>
      <xdr:row>23</xdr:row>
      <xdr:rowOff>104775</xdr:rowOff>
    </xdr:to>
    <xdr:pic>
      <xdr:nvPicPr>
        <xdr:cNvPr id="384080" name="Obrázek 53" descr="mId__gS6srrn2gNELPsZlPpPZjZd3NQZCzdwTNyPTk4&amp;width=34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9450" y="3267075"/>
          <a:ext cx="19335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47626</xdr:colOff>
      <xdr:row>12</xdr:row>
      <xdr:rowOff>189441</xdr:rowOff>
    </xdr:from>
    <xdr:to>
      <xdr:col>5</xdr:col>
      <xdr:colOff>12701</xdr:colOff>
      <xdr:row>19</xdr:row>
      <xdr:rowOff>0</xdr:rowOff>
    </xdr:to>
    <xdr:cxnSp macro="">
      <xdr:nvCxnSpPr>
        <xdr:cNvPr id="55" name="Přímá spojovací šipka 54"/>
        <xdr:cNvCxnSpPr>
          <a:stCxn id="204" idx="1"/>
        </xdr:cNvCxnSpPr>
      </xdr:nvCxnSpPr>
      <xdr:spPr>
        <a:xfrm flipH="1">
          <a:off x="2486026" y="2551641"/>
          <a:ext cx="574675" cy="1144059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13</xdr:row>
      <xdr:rowOff>0</xdr:rowOff>
    </xdr:from>
    <xdr:to>
      <xdr:col>8</xdr:col>
      <xdr:colOff>542925</xdr:colOff>
      <xdr:row>15</xdr:row>
      <xdr:rowOff>161925</xdr:rowOff>
    </xdr:to>
    <xdr:cxnSp macro="">
      <xdr:nvCxnSpPr>
        <xdr:cNvPr id="16" name="Přímá spojovací šipka 15"/>
        <xdr:cNvCxnSpPr/>
      </xdr:nvCxnSpPr>
      <xdr:spPr>
        <a:xfrm>
          <a:off x="4533900" y="2552700"/>
          <a:ext cx="885825" cy="542925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13</xdr:row>
      <xdr:rowOff>85725</xdr:rowOff>
    </xdr:from>
    <xdr:to>
      <xdr:col>8</xdr:col>
      <xdr:colOff>533400</xdr:colOff>
      <xdr:row>18</xdr:row>
      <xdr:rowOff>133350</xdr:rowOff>
    </xdr:to>
    <xdr:cxnSp macro="">
      <xdr:nvCxnSpPr>
        <xdr:cNvPr id="20" name="Přímá spojovací šipka 19"/>
        <xdr:cNvCxnSpPr/>
      </xdr:nvCxnSpPr>
      <xdr:spPr>
        <a:xfrm>
          <a:off x="4533900" y="2638425"/>
          <a:ext cx="876300" cy="1000125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14</xdr:row>
      <xdr:rowOff>0</xdr:rowOff>
    </xdr:from>
    <xdr:to>
      <xdr:col>8</xdr:col>
      <xdr:colOff>504825</xdr:colOff>
      <xdr:row>21</xdr:row>
      <xdr:rowOff>76200</xdr:rowOff>
    </xdr:to>
    <xdr:cxnSp macro="">
      <xdr:nvCxnSpPr>
        <xdr:cNvPr id="23" name="Přímá spojovací šipka 22"/>
        <xdr:cNvCxnSpPr/>
      </xdr:nvCxnSpPr>
      <xdr:spPr>
        <a:xfrm>
          <a:off x="4524375" y="2743200"/>
          <a:ext cx="857250" cy="140970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76200</xdr:rowOff>
    </xdr:from>
    <xdr:to>
      <xdr:col>0</xdr:col>
      <xdr:colOff>19050</xdr:colOff>
      <xdr:row>28</xdr:row>
      <xdr:rowOff>38100</xdr:rowOff>
    </xdr:to>
    <xdr:sp macro="" textlink="">
      <xdr:nvSpPr>
        <xdr:cNvPr id="382012" name="Rectangle 28"/>
        <xdr:cNvSpPr>
          <a:spLocks noChangeArrowheads="1"/>
        </xdr:cNvSpPr>
      </xdr:nvSpPr>
      <xdr:spPr bwMode="auto">
        <a:xfrm>
          <a:off x="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76200</xdr:rowOff>
    </xdr:from>
    <xdr:to>
      <xdr:col>0</xdr:col>
      <xdr:colOff>19050</xdr:colOff>
      <xdr:row>28</xdr:row>
      <xdr:rowOff>38100</xdr:rowOff>
    </xdr:to>
    <xdr:sp macro="" textlink="">
      <xdr:nvSpPr>
        <xdr:cNvPr id="382013" name="Rectangle 28"/>
        <xdr:cNvSpPr>
          <a:spLocks noChangeArrowheads="1"/>
        </xdr:cNvSpPr>
      </xdr:nvSpPr>
      <xdr:spPr bwMode="auto">
        <a:xfrm>
          <a:off x="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57</xdr:row>
      <xdr:rowOff>142875</xdr:rowOff>
    </xdr:from>
    <xdr:to>
      <xdr:col>0</xdr:col>
      <xdr:colOff>19050</xdr:colOff>
      <xdr:row>58</xdr:row>
      <xdr:rowOff>104775</xdr:rowOff>
    </xdr:to>
    <xdr:sp macro="" textlink="">
      <xdr:nvSpPr>
        <xdr:cNvPr id="382014" name="Rectangle 27"/>
        <xdr:cNvSpPr>
          <a:spLocks noChangeArrowheads="1"/>
        </xdr:cNvSpPr>
      </xdr:nvSpPr>
      <xdr:spPr bwMode="auto">
        <a:xfrm>
          <a:off x="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4850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4851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4852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4853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5871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5872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5873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5874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6895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6896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6897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6898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7918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7919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7920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7921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8943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27</xdr:row>
      <xdr:rowOff>76200</xdr:rowOff>
    </xdr:from>
    <xdr:to>
      <xdr:col>41</xdr:col>
      <xdr:colOff>19050</xdr:colOff>
      <xdr:row>28</xdr:row>
      <xdr:rowOff>38100</xdr:rowOff>
    </xdr:to>
    <xdr:sp macro="" textlink="">
      <xdr:nvSpPr>
        <xdr:cNvPr id="368944" name="Rectangle 28"/>
        <xdr:cNvSpPr>
          <a:spLocks noChangeArrowheads="1"/>
        </xdr:cNvSpPr>
      </xdr:nvSpPr>
      <xdr:spPr bwMode="auto">
        <a:xfrm>
          <a:off x="9582150" y="51720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57</xdr:row>
      <xdr:rowOff>142875</xdr:rowOff>
    </xdr:from>
    <xdr:to>
      <xdr:col>41</xdr:col>
      <xdr:colOff>19050</xdr:colOff>
      <xdr:row>58</xdr:row>
      <xdr:rowOff>104775</xdr:rowOff>
    </xdr:to>
    <xdr:sp macro="" textlink="">
      <xdr:nvSpPr>
        <xdr:cNvPr id="368945" name="Rectangle 27"/>
        <xdr:cNvSpPr>
          <a:spLocks noChangeArrowheads="1"/>
        </xdr:cNvSpPr>
      </xdr:nvSpPr>
      <xdr:spPr bwMode="auto">
        <a:xfrm>
          <a:off x="9582150" y="10953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34</xdr:col>
      <xdr:colOff>152400</xdr:colOff>
      <xdr:row>59</xdr:row>
      <xdr:rowOff>85725</xdr:rowOff>
    </xdr:from>
    <xdr:to>
      <xdr:col>38</xdr:col>
      <xdr:colOff>123825</xdr:colOff>
      <xdr:row>60</xdr:row>
      <xdr:rowOff>57150</xdr:rowOff>
    </xdr:to>
    <xdr:sp macro="" textlink="">
      <xdr:nvSpPr>
        <xdr:cNvPr id="368946" name="Rectangle 27"/>
        <xdr:cNvSpPr>
          <a:spLocks noChangeArrowheads="1"/>
        </xdr:cNvSpPr>
      </xdr:nvSpPr>
      <xdr:spPr bwMode="auto">
        <a:xfrm>
          <a:off x="7334250" y="11277600"/>
          <a:ext cx="628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>
          <a:noFill/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00B0F0"/>
  </sheetPr>
  <dimension ref="A1:AG180"/>
  <sheetViews>
    <sheetView showGridLines="0" showRowColHeaders="0" workbookViewId="0">
      <pane ySplit="3" topLeftCell="A4" activePane="bottomLeft" state="frozen"/>
      <selection pane="bottomLeft" activeCell="AF2" sqref="AF2"/>
    </sheetView>
  </sheetViews>
  <sheetFormatPr defaultRowHeight="12.75"/>
  <cols>
    <col min="1" max="1" width="1.7109375" customWidth="1"/>
    <col min="2" max="2" width="4.5703125" customWidth="1"/>
    <col min="3" max="3" width="20.42578125" customWidth="1"/>
    <col min="4" max="4" width="4.28515625" hidden="1" customWidth="1"/>
    <col min="6" max="6" width="3.7109375" customWidth="1"/>
    <col min="7" max="7" width="3.7109375" hidden="1" customWidth="1"/>
    <col min="8" max="8" width="5.7109375" customWidth="1"/>
    <col min="9" max="9" width="3.7109375" customWidth="1"/>
    <col min="10" max="10" width="3.7109375" hidden="1" customWidth="1"/>
    <col min="11" max="11" width="5.85546875" customWidth="1"/>
    <col min="12" max="12" width="3.7109375" customWidth="1"/>
    <col min="13" max="13" width="3.7109375" hidden="1" customWidth="1"/>
    <col min="14" max="14" width="5.7109375" customWidth="1"/>
    <col min="15" max="15" width="3.7109375" customWidth="1"/>
    <col min="16" max="16" width="3.7109375" hidden="1" customWidth="1"/>
    <col min="17" max="17" width="5.85546875" customWidth="1"/>
    <col min="18" max="18" width="3.7109375" customWidth="1"/>
    <col min="19" max="19" width="3.7109375" hidden="1" customWidth="1"/>
    <col min="20" max="20" width="5.7109375" customWidth="1"/>
    <col min="21" max="21" width="3.7109375" customWidth="1"/>
    <col min="22" max="22" width="3.7109375" hidden="1" customWidth="1"/>
    <col min="23" max="23" width="5.7109375" customWidth="1"/>
    <col min="24" max="24" width="3.7109375" customWidth="1"/>
    <col min="25" max="25" width="3.7109375" hidden="1" customWidth="1"/>
    <col min="26" max="26" width="5.7109375" customWidth="1"/>
    <col min="27" max="28" width="4.42578125" customWidth="1"/>
    <col min="29" max="29" width="14.28515625" hidden="1" customWidth="1"/>
    <col min="30" max="30" width="7.7109375" customWidth="1"/>
    <col min="31" max="31" width="8.7109375" customWidth="1"/>
    <col min="32" max="32" width="18.140625" customWidth="1"/>
    <col min="33" max="33" width="6.7109375" style="1" customWidth="1"/>
  </cols>
  <sheetData>
    <row r="1" spans="1:33" ht="8.25" customHeight="1" thickBot="1"/>
    <row r="2" spans="1:33" ht="31.5" customHeight="1" thickBot="1">
      <c r="A2" s="2"/>
      <c r="B2" s="772" t="s">
        <v>120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4"/>
      <c r="AF2" s="257" t="s">
        <v>152</v>
      </c>
    </row>
    <row r="3" spans="1:33" ht="111" customHeight="1" thickBot="1">
      <c r="A3" s="2"/>
      <c r="B3" s="5">
        <v>0</v>
      </c>
      <c r="C3" s="4"/>
      <c r="D3" s="90"/>
      <c r="E3" s="113" t="s">
        <v>21</v>
      </c>
      <c r="F3" s="775"/>
      <c r="G3" s="776"/>
      <c r="H3" s="777"/>
      <c r="I3" s="769"/>
      <c r="J3" s="770"/>
      <c r="K3" s="771"/>
      <c r="L3" s="769"/>
      <c r="M3" s="770"/>
      <c r="N3" s="771"/>
      <c r="O3" s="769"/>
      <c r="P3" s="770"/>
      <c r="Q3" s="771"/>
      <c r="R3" s="769"/>
      <c r="S3" s="770"/>
      <c r="T3" s="771"/>
      <c r="U3" s="769"/>
      <c r="V3" s="770"/>
      <c r="W3" s="771"/>
      <c r="X3" s="769"/>
      <c r="Y3" s="770"/>
      <c r="Z3" s="771"/>
      <c r="AA3" s="114" t="s">
        <v>146</v>
      </c>
      <c r="AB3" s="115" t="s">
        <v>147</v>
      </c>
      <c r="AC3" s="91"/>
      <c r="AD3" s="116" t="s">
        <v>148</v>
      </c>
      <c r="AE3" s="117" t="s">
        <v>149</v>
      </c>
    </row>
    <row r="4" spans="1:33">
      <c r="A4" s="2"/>
      <c r="B4" s="125">
        <f t="shared" ref="B4:B35" si="0">SUM(B3+1)</f>
        <v>1</v>
      </c>
      <c r="C4" s="129" t="s">
        <v>97</v>
      </c>
      <c r="D4" s="127">
        <f t="shared" ref="D4:D35" si="1">IF(AA4&lt;2,0,1)</f>
        <v>0</v>
      </c>
      <c r="E4" s="736" t="s">
        <v>6</v>
      </c>
      <c r="F4" s="450">
        <v>1</v>
      </c>
      <c r="G4" s="415">
        <f t="shared" ref="G4:G35" si="2">IF(F4="","",IF(F4&gt;50,"",51-F4))</f>
        <v>50</v>
      </c>
      <c r="H4" s="451">
        <v>857</v>
      </c>
      <c r="I4" s="416"/>
      <c r="J4" s="415" t="str">
        <f t="shared" ref="J4:J35" si="3">IF(I4="","",IF(I4&gt;50,"",51-I4))</f>
        <v/>
      </c>
      <c r="K4" s="417"/>
      <c r="L4" s="416"/>
      <c r="M4" s="415" t="str">
        <f t="shared" ref="M4:M35" si="4">IF(L4="","",IF(L4&gt;50,"",51-L4))</f>
        <v/>
      </c>
      <c r="N4" s="417"/>
      <c r="O4" s="416"/>
      <c r="P4" s="418" t="str">
        <f t="shared" ref="P4:P35" si="5">IF(O4="","",IF(O4&gt;50,"",51-O4))</f>
        <v/>
      </c>
      <c r="Q4" s="419"/>
      <c r="R4" s="416"/>
      <c r="S4" s="415" t="str">
        <f t="shared" ref="S4:S35" si="6">IF(R4="","",IF(R4&gt;50,"",51-R4))</f>
        <v/>
      </c>
      <c r="T4" s="452"/>
      <c r="U4" s="450"/>
      <c r="V4" s="415" t="str">
        <f t="shared" ref="V4:V35" si="7">IF(U4="","",IF(U4&gt;50,"",51-U4))</f>
        <v/>
      </c>
      <c r="W4" s="452"/>
      <c r="X4" s="416"/>
      <c r="Y4" s="418" t="str">
        <f t="shared" ref="Y4:Y35" si="8">IF(X4="","",IF(X4&gt;50,"",51-X4))</f>
        <v/>
      </c>
      <c r="Z4" s="419"/>
      <c r="AA4" s="57">
        <f t="shared" ref="AA4:AA12" si="9">COUNT(X4,U4,R4,O4,L4,I4,F4)</f>
        <v>1</v>
      </c>
      <c r="AB4" s="57">
        <f t="shared" ref="AB4:AB35" si="10">SUM(G4,J4,M4,P4,S4,V4,Y4)</f>
        <v>50</v>
      </c>
      <c r="AC4" s="57">
        <f t="shared" ref="AC4:AC35" si="11">IF(AB4=0,"",SUM(AB4*1000)+AD4)</f>
        <v>50171.4</v>
      </c>
      <c r="AD4" s="58">
        <f t="shared" ref="AD4:AD35" si="12">IF(AA4=0,"",AE4/5)</f>
        <v>171.4</v>
      </c>
      <c r="AE4" s="58">
        <f t="shared" ref="AE4:AE35" si="13">IF(AA4=0,"",(H4+K4+N4+Q4+T4+W4+Z4)/AA4)</f>
        <v>857</v>
      </c>
    </row>
    <row r="5" spans="1:33">
      <c r="A5" s="2"/>
      <c r="B5" s="125">
        <f t="shared" si="0"/>
        <v>2</v>
      </c>
      <c r="C5" s="301" t="s">
        <v>8</v>
      </c>
      <c r="D5" s="128">
        <f t="shared" si="1"/>
        <v>0</v>
      </c>
      <c r="E5" s="735" t="s">
        <v>5</v>
      </c>
      <c r="F5" s="441">
        <v>2</v>
      </c>
      <c r="G5" s="420">
        <f t="shared" si="2"/>
        <v>49</v>
      </c>
      <c r="H5" s="442">
        <v>852</v>
      </c>
      <c r="I5" s="421"/>
      <c r="J5" s="420" t="str">
        <f t="shared" si="3"/>
        <v/>
      </c>
      <c r="K5" s="417"/>
      <c r="L5" s="421"/>
      <c r="M5" s="420" t="str">
        <f t="shared" si="4"/>
        <v/>
      </c>
      <c r="N5" s="422"/>
      <c r="O5" s="423"/>
      <c r="P5" s="418" t="str">
        <f t="shared" si="5"/>
        <v/>
      </c>
      <c r="Q5" s="419"/>
      <c r="R5" s="421"/>
      <c r="S5" s="420" t="str">
        <f t="shared" si="6"/>
        <v/>
      </c>
      <c r="T5" s="440"/>
      <c r="U5" s="441"/>
      <c r="V5" s="418" t="str">
        <f t="shared" si="7"/>
        <v/>
      </c>
      <c r="W5" s="440"/>
      <c r="X5" s="421"/>
      <c r="Y5" s="418" t="str">
        <f t="shared" si="8"/>
        <v/>
      </c>
      <c r="Z5" s="440"/>
      <c r="AA5" s="57">
        <f t="shared" si="9"/>
        <v>1</v>
      </c>
      <c r="AB5" s="57">
        <f t="shared" si="10"/>
        <v>49</v>
      </c>
      <c r="AC5" s="57">
        <f t="shared" si="11"/>
        <v>49170.400000000001</v>
      </c>
      <c r="AD5" s="58">
        <f t="shared" si="12"/>
        <v>170.4</v>
      </c>
      <c r="AE5" s="58">
        <f t="shared" si="13"/>
        <v>852</v>
      </c>
    </row>
    <row r="6" spans="1:33">
      <c r="A6" s="2"/>
      <c r="B6" s="125">
        <f t="shared" si="0"/>
        <v>3</v>
      </c>
      <c r="C6" s="129" t="s">
        <v>93</v>
      </c>
      <c r="D6" s="128">
        <f t="shared" si="1"/>
        <v>0</v>
      </c>
      <c r="E6" s="130" t="s">
        <v>6</v>
      </c>
      <c r="F6" s="425">
        <v>3</v>
      </c>
      <c r="G6" s="418">
        <f t="shared" si="2"/>
        <v>48</v>
      </c>
      <c r="H6" s="426">
        <v>844</v>
      </c>
      <c r="I6" s="423"/>
      <c r="J6" s="418" t="str">
        <f t="shared" si="3"/>
        <v/>
      </c>
      <c r="K6" s="417"/>
      <c r="L6" s="423"/>
      <c r="M6" s="418" t="str">
        <f t="shared" si="4"/>
        <v/>
      </c>
      <c r="N6" s="417"/>
      <c r="O6" s="423"/>
      <c r="P6" s="418" t="str">
        <f t="shared" si="5"/>
        <v/>
      </c>
      <c r="Q6" s="419"/>
      <c r="R6" s="423"/>
      <c r="S6" s="424" t="str">
        <f t="shared" si="6"/>
        <v/>
      </c>
      <c r="T6" s="419"/>
      <c r="U6" s="425"/>
      <c r="V6" s="418" t="str">
        <f t="shared" si="7"/>
        <v/>
      </c>
      <c r="W6" s="419"/>
      <c r="X6" s="423"/>
      <c r="Y6" s="418" t="str">
        <f t="shared" si="8"/>
        <v/>
      </c>
      <c r="Z6" s="440"/>
      <c r="AA6" s="57">
        <f t="shared" si="9"/>
        <v>1</v>
      </c>
      <c r="AB6" s="57">
        <f t="shared" si="10"/>
        <v>48</v>
      </c>
      <c r="AC6" s="57">
        <f t="shared" si="11"/>
        <v>48168.800000000003</v>
      </c>
      <c r="AD6" s="58">
        <f t="shared" si="12"/>
        <v>168.8</v>
      </c>
      <c r="AE6" s="58">
        <f t="shared" si="13"/>
        <v>844</v>
      </c>
      <c r="AG6"/>
    </row>
    <row r="7" spans="1:33">
      <c r="A7" s="2"/>
      <c r="B7" s="125">
        <f t="shared" si="0"/>
        <v>4</v>
      </c>
      <c r="C7" s="375" t="s">
        <v>58</v>
      </c>
      <c r="D7" s="128">
        <f t="shared" si="1"/>
        <v>0</v>
      </c>
      <c r="E7" s="132" t="s">
        <v>16</v>
      </c>
      <c r="F7" s="425">
        <v>4</v>
      </c>
      <c r="G7" s="418">
        <f t="shared" si="2"/>
        <v>47</v>
      </c>
      <c r="H7" s="426">
        <v>829</v>
      </c>
      <c r="I7" s="423"/>
      <c r="J7" s="418" t="str">
        <f t="shared" si="3"/>
        <v/>
      </c>
      <c r="K7" s="417"/>
      <c r="L7" s="423"/>
      <c r="M7" s="418" t="str">
        <f t="shared" si="4"/>
        <v/>
      </c>
      <c r="N7" s="417"/>
      <c r="O7" s="423"/>
      <c r="P7" s="418" t="str">
        <f t="shared" si="5"/>
        <v/>
      </c>
      <c r="Q7" s="419"/>
      <c r="R7" s="423"/>
      <c r="S7" s="424" t="str">
        <f t="shared" si="6"/>
        <v/>
      </c>
      <c r="T7" s="419"/>
      <c r="U7" s="425"/>
      <c r="V7" s="418" t="str">
        <f t="shared" si="7"/>
        <v/>
      </c>
      <c r="W7" s="419"/>
      <c r="X7" s="423"/>
      <c r="Y7" s="418" t="str">
        <f t="shared" si="8"/>
        <v/>
      </c>
      <c r="Z7" s="440"/>
      <c r="AA7" s="57">
        <f t="shared" si="9"/>
        <v>1</v>
      </c>
      <c r="AB7" s="57">
        <f t="shared" si="10"/>
        <v>47</v>
      </c>
      <c r="AC7" s="57">
        <f t="shared" si="11"/>
        <v>47165.8</v>
      </c>
      <c r="AD7" s="58">
        <f t="shared" si="12"/>
        <v>165.8</v>
      </c>
      <c r="AE7" s="58">
        <f t="shared" si="13"/>
        <v>829</v>
      </c>
      <c r="AF7" s="24"/>
      <c r="AG7"/>
    </row>
    <row r="8" spans="1:33">
      <c r="A8" s="2"/>
      <c r="B8" s="125">
        <f t="shared" si="0"/>
        <v>5</v>
      </c>
      <c r="C8" s="727" t="s">
        <v>26</v>
      </c>
      <c r="D8" s="128">
        <f t="shared" si="1"/>
        <v>0</v>
      </c>
      <c r="E8" s="310" t="s">
        <v>0</v>
      </c>
      <c r="F8" s="425">
        <v>5</v>
      </c>
      <c r="G8" s="418">
        <f t="shared" si="2"/>
        <v>46</v>
      </c>
      <c r="H8" s="426">
        <v>827</v>
      </c>
      <c r="I8" s="423"/>
      <c r="J8" s="418" t="str">
        <f t="shared" si="3"/>
        <v/>
      </c>
      <c r="K8" s="417"/>
      <c r="L8" s="423"/>
      <c r="M8" s="418" t="str">
        <f t="shared" si="4"/>
        <v/>
      </c>
      <c r="N8" s="417"/>
      <c r="O8" s="423"/>
      <c r="P8" s="418" t="str">
        <f t="shared" si="5"/>
        <v/>
      </c>
      <c r="Q8" s="417"/>
      <c r="R8" s="423"/>
      <c r="S8" s="424" t="str">
        <f t="shared" si="6"/>
        <v/>
      </c>
      <c r="T8" s="427"/>
      <c r="U8" s="423"/>
      <c r="V8" s="418" t="str">
        <f t="shared" si="7"/>
        <v/>
      </c>
      <c r="W8" s="417"/>
      <c r="X8" s="423"/>
      <c r="Y8" s="418" t="str">
        <f t="shared" si="8"/>
        <v/>
      </c>
      <c r="Z8" s="422"/>
      <c r="AA8" s="57">
        <f t="shared" si="9"/>
        <v>1</v>
      </c>
      <c r="AB8" s="57">
        <f t="shared" si="10"/>
        <v>46</v>
      </c>
      <c r="AC8" s="57">
        <f t="shared" si="11"/>
        <v>46165.4</v>
      </c>
      <c r="AD8" s="58">
        <f t="shared" si="12"/>
        <v>165.4</v>
      </c>
      <c r="AE8" s="58">
        <f t="shared" si="13"/>
        <v>827</v>
      </c>
      <c r="AG8"/>
    </row>
    <row r="9" spans="1:33">
      <c r="A9" s="2"/>
      <c r="B9" s="125">
        <f t="shared" si="0"/>
        <v>6</v>
      </c>
      <c r="C9" s="734" t="s">
        <v>112</v>
      </c>
      <c r="D9" s="128">
        <f t="shared" si="1"/>
        <v>0</v>
      </c>
      <c r="E9" s="307" t="s">
        <v>3</v>
      </c>
      <c r="F9" s="428">
        <v>6</v>
      </c>
      <c r="G9" s="418">
        <f t="shared" si="2"/>
        <v>45</v>
      </c>
      <c r="H9" s="429">
        <v>826</v>
      </c>
      <c r="I9" s="423"/>
      <c r="J9" s="418" t="str">
        <f t="shared" si="3"/>
        <v/>
      </c>
      <c r="K9" s="417"/>
      <c r="L9" s="423"/>
      <c r="M9" s="418" t="str">
        <f t="shared" si="4"/>
        <v/>
      </c>
      <c r="N9" s="417"/>
      <c r="O9" s="423"/>
      <c r="P9" s="418" t="str">
        <f t="shared" si="5"/>
        <v/>
      </c>
      <c r="Q9" s="417"/>
      <c r="R9" s="423"/>
      <c r="S9" s="424" t="str">
        <f t="shared" si="6"/>
        <v/>
      </c>
      <c r="T9" s="427"/>
      <c r="U9" s="423"/>
      <c r="V9" s="418" t="str">
        <f t="shared" si="7"/>
        <v/>
      </c>
      <c r="W9" s="417"/>
      <c r="X9" s="423"/>
      <c r="Y9" s="418" t="str">
        <f t="shared" si="8"/>
        <v/>
      </c>
      <c r="Z9" s="422"/>
      <c r="AA9" s="59">
        <f t="shared" si="9"/>
        <v>1</v>
      </c>
      <c r="AB9" s="57">
        <f t="shared" si="10"/>
        <v>45</v>
      </c>
      <c r="AC9" s="57">
        <f t="shared" si="11"/>
        <v>45165.2</v>
      </c>
      <c r="AD9" s="58">
        <f t="shared" si="12"/>
        <v>165.2</v>
      </c>
      <c r="AE9" s="58">
        <f t="shared" si="13"/>
        <v>826</v>
      </c>
      <c r="AG9"/>
    </row>
    <row r="10" spans="1:33">
      <c r="A10" s="2"/>
      <c r="B10" s="125">
        <f t="shared" si="0"/>
        <v>7</v>
      </c>
      <c r="C10" s="126" t="s">
        <v>1</v>
      </c>
      <c r="D10" s="128">
        <f t="shared" si="1"/>
        <v>0</v>
      </c>
      <c r="E10" s="132" t="s">
        <v>16</v>
      </c>
      <c r="F10" s="423">
        <v>7</v>
      </c>
      <c r="G10" s="418">
        <f t="shared" si="2"/>
        <v>44</v>
      </c>
      <c r="H10" s="417">
        <v>812</v>
      </c>
      <c r="I10" s="423"/>
      <c r="J10" s="418" t="str">
        <f t="shared" si="3"/>
        <v/>
      </c>
      <c r="K10" s="417"/>
      <c r="L10" s="423"/>
      <c r="M10" s="418" t="str">
        <f t="shared" si="4"/>
        <v/>
      </c>
      <c r="N10" s="417"/>
      <c r="O10" s="423"/>
      <c r="P10" s="418" t="str">
        <f t="shared" si="5"/>
        <v/>
      </c>
      <c r="Q10" s="417"/>
      <c r="R10" s="423"/>
      <c r="S10" s="424" t="str">
        <f t="shared" si="6"/>
        <v/>
      </c>
      <c r="T10" s="427"/>
      <c r="U10" s="423"/>
      <c r="V10" s="418" t="str">
        <f t="shared" si="7"/>
        <v/>
      </c>
      <c r="W10" s="417"/>
      <c r="X10" s="423"/>
      <c r="Y10" s="418" t="str">
        <f t="shared" si="8"/>
        <v/>
      </c>
      <c r="Z10" s="422"/>
      <c r="AA10" s="59">
        <f t="shared" si="9"/>
        <v>1</v>
      </c>
      <c r="AB10" s="57">
        <f t="shared" si="10"/>
        <v>44</v>
      </c>
      <c r="AC10" s="57">
        <f t="shared" si="11"/>
        <v>44162.400000000001</v>
      </c>
      <c r="AD10" s="58">
        <f t="shared" si="12"/>
        <v>162.4</v>
      </c>
      <c r="AE10" s="58">
        <f t="shared" si="13"/>
        <v>812</v>
      </c>
      <c r="AG10"/>
    </row>
    <row r="11" spans="1:33">
      <c r="A11" s="2"/>
      <c r="B11" s="125">
        <f t="shared" si="0"/>
        <v>8</v>
      </c>
      <c r="C11" s="309" t="s">
        <v>156</v>
      </c>
      <c r="D11" s="128">
        <f t="shared" si="1"/>
        <v>0</v>
      </c>
      <c r="E11" s="310" t="s">
        <v>0</v>
      </c>
      <c r="F11" s="423">
        <v>8</v>
      </c>
      <c r="G11" s="418">
        <f t="shared" si="2"/>
        <v>43</v>
      </c>
      <c r="H11" s="417">
        <v>799</v>
      </c>
      <c r="I11" s="423"/>
      <c r="J11" s="418" t="str">
        <f t="shared" si="3"/>
        <v/>
      </c>
      <c r="K11" s="417"/>
      <c r="L11" s="423"/>
      <c r="M11" s="418" t="str">
        <f t="shared" si="4"/>
        <v/>
      </c>
      <c r="N11" s="417"/>
      <c r="O11" s="423"/>
      <c r="P11" s="418" t="str">
        <f t="shared" si="5"/>
        <v/>
      </c>
      <c r="Q11" s="417"/>
      <c r="R11" s="423"/>
      <c r="S11" s="424" t="str">
        <f t="shared" si="6"/>
        <v/>
      </c>
      <c r="T11" s="427"/>
      <c r="U11" s="423"/>
      <c r="V11" s="418" t="str">
        <f t="shared" si="7"/>
        <v/>
      </c>
      <c r="W11" s="417"/>
      <c r="X11" s="423"/>
      <c r="Y11" s="418" t="str">
        <f t="shared" si="8"/>
        <v/>
      </c>
      <c r="Z11" s="422"/>
      <c r="AA11" s="59">
        <f t="shared" si="9"/>
        <v>1</v>
      </c>
      <c r="AB11" s="57">
        <f t="shared" si="10"/>
        <v>43</v>
      </c>
      <c r="AC11" s="57">
        <f t="shared" si="11"/>
        <v>43159.8</v>
      </c>
      <c r="AD11" s="58">
        <f t="shared" si="12"/>
        <v>159.80000000000001</v>
      </c>
      <c r="AE11" s="58">
        <f t="shared" si="13"/>
        <v>799</v>
      </c>
      <c r="AG11"/>
    </row>
    <row r="12" spans="1:33">
      <c r="A12" s="2"/>
      <c r="B12" s="125">
        <f t="shared" si="0"/>
        <v>9</v>
      </c>
      <c r="C12" s="308" t="s">
        <v>2</v>
      </c>
      <c r="D12" s="128">
        <f t="shared" si="1"/>
        <v>0</v>
      </c>
      <c r="E12" s="310" t="s">
        <v>0</v>
      </c>
      <c r="F12" s="423">
        <v>9</v>
      </c>
      <c r="G12" s="418">
        <f t="shared" si="2"/>
        <v>42</v>
      </c>
      <c r="H12" s="417">
        <v>791</v>
      </c>
      <c r="I12" s="423"/>
      <c r="J12" s="418" t="str">
        <f t="shared" si="3"/>
        <v/>
      </c>
      <c r="K12" s="417"/>
      <c r="L12" s="423"/>
      <c r="M12" s="418" t="str">
        <f t="shared" si="4"/>
        <v/>
      </c>
      <c r="N12" s="417"/>
      <c r="O12" s="423"/>
      <c r="P12" s="418" t="str">
        <f t="shared" si="5"/>
        <v/>
      </c>
      <c r="Q12" s="417"/>
      <c r="R12" s="423"/>
      <c r="S12" s="424" t="str">
        <f t="shared" si="6"/>
        <v/>
      </c>
      <c r="T12" s="427"/>
      <c r="U12" s="423"/>
      <c r="V12" s="418" t="str">
        <f t="shared" si="7"/>
        <v/>
      </c>
      <c r="W12" s="417"/>
      <c r="X12" s="423"/>
      <c r="Y12" s="418" t="str">
        <f t="shared" si="8"/>
        <v/>
      </c>
      <c r="Z12" s="422"/>
      <c r="AA12" s="59">
        <f t="shared" si="9"/>
        <v>1</v>
      </c>
      <c r="AB12" s="57">
        <f t="shared" si="10"/>
        <v>42</v>
      </c>
      <c r="AC12" s="57">
        <f t="shared" si="11"/>
        <v>42158.2</v>
      </c>
      <c r="AD12" s="58">
        <f t="shared" si="12"/>
        <v>158.19999999999999</v>
      </c>
      <c r="AE12" s="58">
        <f t="shared" si="13"/>
        <v>791</v>
      </c>
      <c r="AG12"/>
    </row>
    <row r="13" spans="1:33">
      <c r="A13" s="2"/>
      <c r="B13" s="131">
        <f t="shared" si="0"/>
        <v>10</v>
      </c>
      <c r="C13" s="728" t="s">
        <v>117</v>
      </c>
      <c r="D13" s="128">
        <f t="shared" si="1"/>
        <v>0</v>
      </c>
      <c r="E13" s="304" t="s">
        <v>3</v>
      </c>
      <c r="F13" s="423">
        <v>10</v>
      </c>
      <c r="G13" s="418">
        <f t="shared" si="2"/>
        <v>41</v>
      </c>
      <c r="H13" s="417">
        <v>776</v>
      </c>
      <c r="I13" s="423"/>
      <c r="J13" s="418" t="str">
        <f t="shared" si="3"/>
        <v/>
      </c>
      <c r="K13" s="417"/>
      <c r="L13" s="423"/>
      <c r="M13" s="418" t="str">
        <f t="shared" si="4"/>
        <v/>
      </c>
      <c r="N13" s="417"/>
      <c r="O13" s="423"/>
      <c r="P13" s="418" t="str">
        <f t="shared" si="5"/>
        <v/>
      </c>
      <c r="Q13" s="417"/>
      <c r="R13" s="423"/>
      <c r="S13" s="424" t="str">
        <f t="shared" si="6"/>
        <v/>
      </c>
      <c r="T13" s="427"/>
      <c r="U13" s="423"/>
      <c r="V13" s="418" t="str">
        <f t="shared" si="7"/>
        <v/>
      </c>
      <c r="W13" s="417"/>
      <c r="X13" s="423"/>
      <c r="Y13" s="418" t="str">
        <f t="shared" si="8"/>
        <v/>
      </c>
      <c r="Z13" s="422"/>
      <c r="AA13" s="59">
        <f>COUNT(F13,I13,L13,O13,R13,U13,X13)</f>
        <v>1</v>
      </c>
      <c r="AB13" s="57">
        <f t="shared" si="10"/>
        <v>41</v>
      </c>
      <c r="AC13" s="57">
        <f t="shared" si="11"/>
        <v>41155.199999999997</v>
      </c>
      <c r="AD13" s="58">
        <f t="shared" si="12"/>
        <v>155.19999999999999</v>
      </c>
      <c r="AE13" s="58">
        <f t="shared" si="13"/>
        <v>776</v>
      </c>
      <c r="AG13"/>
    </row>
    <row r="14" spans="1:33">
      <c r="A14" s="2"/>
      <c r="B14" s="131">
        <f t="shared" si="0"/>
        <v>11</v>
      </c>
      <c r="C14" s="733" t="s">
        <v>144</v>
      </c>
      <c r="D14" s="128">
        <f t="shared" si="1"/>
        <v>0</v>
      </c>
      <c r="E14" s="310" t="s">
        <v>0</v>
      </c>
      <c r="F14" s="423">
        <v>11</v>
      </c>
      <c r="G14" s="418">
        <f t="shared" si="2"/>
        <v>40</v>
      </c>
      <c r="H14" s="417">
        <v>772</v>
      </c>
      <c r="I14" s="423"/>
      <c r="J14" s="418" t="str">
        <f t="shared" si="3"/>
        <v/>
      </c>
      <c r="K14" s="417"/>
      <c r="L14" s="423"/>
      <c r="M14" s="418" t="str">
        <f t="shared" si="4"/>
        <v/>
      </c>
      <c r="N14" s="417"/>
      <c r="O14" s="423"/>
      <c r="P14" s="418" t="str">
        <f t="shared" si="5"/>
        <v/>
      </c>
      <c r="Q14" s="417"/>
      <c r="R14" s="423"/>
      <c r="S14" s="424" t="str">
        <f t="shared" si="6"/>
        <v/>
      </c>
      <c r="T14" s="427"/>
      <c r="U14" s="423"/>
      <c r="V14" s="418" t="str">
        <f t="shared" si="7"/>
        <v/>
      </c>
      <c r="W14" s="417"/>
      <c r="X14" s="423"/>
      <c r="Y14" s="418" t="str">
        <f t="shared" si="8"/>
        <v/>
      </c>
      <c r="Z14" s="422"/>
      <c r="AA14" s="59">
        <f t="shared" ref="AA14:AA45" si="14">COUNT(X14,U14,R14,O14,L14,I14,F14)</f>
        <v>1</v>
      </c>
      <c r="AB14" s="57">
        <f t="shared" si="10"/>
        <v>40</v>
      </c>
      <c r="AC14" s="57">
        <f t="shared" si="11"/>
        <v>40154.400000000001</v>
      </c>
      <c r="AD14" s="58">
        <f t="shared" si="12"/>
        <v>154.4</v>
      </c>
      <c r="AE14" s="58">
        <f t="shared" si="13"/>
        <v>772</v>
      </c>
      <c r="AG14"/>
    </row>
    <row r="15" spans="1:33">
      <c r="A15" s="2"/>
      <c r="B15" s="131">
        <f t="shared" si="0"/>
        <v>12</v>
      </c>
      <c r="C15" s="733" t="s">
        <v>220</v>
      </c>
      <c r="D15" s="128">
        <f t="shared" si="1"/>
        <v>0</v>
      </c>
      <c r="E15" s="310" t="s">
        <v>0</v>
      </c>
      <c r="F15" s="423">
        <v>12</v>
      </c>
      <c r="G15" s="418">
        <f t="shared" si="2"/>
        <v>39</v>
      </c>
      <c r="H15" s="417">
        <v>761</v>
      </c>
      <c r="I15" s="423"/>
      <c r="J15" s="418" t="str">
        <f t="shared" si="3"/>
        <v/>
      </c>
      <c r="K15" s="417"/>
      <c r="L15" s="441"/>
      <c r="M15" s="418" t="str">
        <f t="shared" si="4"/>
        <v/>
      </c>
      <c r="N15" s="417"/>
      <c r="O15" s="423"/>
      <c r="P15" s="418" t="str">
        <f t="shared" si="5"/>
        <v/>
      </c>
      <c r="Q15" s="417"/>
      <c r="R15" s="423"/>
      <c r="S15" s="424" t="str">
        <f t="shared" si="6"/>
        <v/>
      </c>
      <c r="T15" s="427"/>
      <c r="U15" s="423"/>
      <c r="V15" s="418" t="str">
        <f t="shared" si="7"/>
        <v/>
      </c>
      <c r="W15" s="417"/>
      <c r="X15" s="423"/>
      <c r="Y15" s="418" t="str">
        <f t="shared" si="8"/>
        <v/>
      </c>
      <c r="Z15" s="422"/>
      <c r="AA15" s="59">
        <f t="shared" si="14"/>
        <v>1</v>
      </c>
      <c r="AB15" s="57">
        <f t="shared" si="10"/>
        <v>39</v>
      </c>
      <c r="AC15" s="57">
        <f t="shared" si="11"/>
        <v>39152.199999999997</v>
      </c>
      <c r="AD15" s="58">
        <f t="shared" si="12"/>
        <v>152.19999999999999</v>
      </c>
      <c r="AE15" s="58">
        <f t="shared" si="13"/>
        <v>761</v>
      </c>
      <c r="AG15"/>
    </row>
    <row r="16" spans="1:33">
      <c r="A16" s="2"/>
      <c r="B16" s="131">
        <f t="shared" si="0"/>
        <v>13</v>
      </c>
      <c r="C16" s="300" t="s">
        <v>69</v>
      </c>
      <c r="D16" s="128">
        <f t="shared" si="1"/>
        <v>0</v>
      </c>
      <c r="E16" s="299" t="s">
        <v>5</v>
      </c>
      <c r="F16" s="423">
        <v>13</v>
      </c>
      <c r="G16" s="418">
        <f t="shared" si="2"/>
        <v>38</v>
      </c>
      <c r="H16" s="417">
        <v>757</v>
      </c>
      <c r="I16" s="423"/>
      <c r="J16" s="418" t="str">
        <f t="shared" si="3"/>
        <v/>
      </c>
      <c r="K16" s="417"/>
      <c r="L16" s="423"/>
      <c r="M16" s="418" t="str">
        <f t="shared" si="4"/>
        <v/>
      </c>
      <c r="N16" s="417"/>
      <c r="O16" s="423"/>
      <c r="P16" s="418" t="str">
        <f t="shared" si="5"/>
        <v/>
      </c>
      <c r="Q16" s="417"/>
      <c r="R16" s="423"/>
      <c r="S16" s="424" t="str">
        <f t="shared" si="6"/>
        <v/>
      </c>
      <c r="T16" s="427"/>
      <c r="U16" s="423"/>
      <c r="V16" s="418" t="str">
        <f t="shared" si="7"/>
        <v/>
      </c>
      <c r="W16" s="417"/>
      <c r="X16" s="423"/>
      <c r="Y16" s="418" t="str">
        <f t="shared" si="8"/>
        <v/>
      </c>
      <c r="Z16" s="422"/>
      <c r="AA16" s="59">
        <f t="shared" si="14"/>
        <v>1</v>
      </c>
      <c r="AB16" s="57">
        <f t="shared" si="10"/>
        <v>38</v>
      </c>
      <c r="AC16" s="57">
        <f t="shared" si="11"/>
        <v>38151.4</v>
      </c>
      <c r="AD16" s="58">
        <f t="shared" si="12"/>
        <v>151.4</v>
      </c>
      <c r="AE16" s="58">
        <f t="shared" si="13"/>
        <v>757</v>
      </c>
      <c r="AG16"/>
    </row>
    <row r="17" spans="1:33">
      <c r="A17" s="2"/>
      <c r="B17" s="131">
        <f t="shared" si="0"/>
        <v>14</v>
      </c>
      <c r="C17" s="732" t="s">
        <v>222</v>
      </c>
      <c r="D17" s="128">
        <f t="shared" si="1"/>
        <v>0</v>
      </c>
      <c r="E17" s="130" t="s">
        <v>6</v>
      </c>
      <c r="F17" s="423">
        <v>14</v>
      </c>
      <c r="G17" s="418">
        <f t="shared" si="2"/>
        <v>37</v>
      </c>
      <c r="H17" s="417">
        <v>756</v>
      </c>
      <c r="I17" s="423"/>
      <c r="J17" s="418" t="str">
        <f t="shared" si="3"/>
        <v/>
      </c>
      <c r="K17" s="417"/>
      <c r="L17" s="423"/>
      <c r="M17" s="418" t="str">
        <f t="shared" si="4"/>
        <v/>
      </c>
      <c r="N17" s="417"/>
      <c r="O17" s="423"/>
      <c r="P17" s="418" t="str">
        <f t="shared" si="5"/>
        <v/>
      </c>
      <c r="Q17" s="417"/>
      <c r="R17" s="423"/>
      <c r="S17" s="424" t="str">
        <f t="shared" si="6"/>
        <v/>
      </c>
      <c r="T17" s="427"/>
      <c r="U17" s="423"/>
      <c r="V17" s="418" t="str">
        <f t="shared" si="7"/>
        <v/>
      </c>
      <c r="W17" s="417"/>
      <c r="X17" s="423"/>
      <c r="Y17" s="418" t="str">
        <f t="shared" si="8"/>
        <v/>
      </c>
      <c r="Z17" s="422"/>
      <c r="AA17" s="59">
        <f t="shared" si="14"/>
        <v>1</v>
      </c>
      <c r="AB17" s="57">
        <f t="shared" si="10"/>
        <v>37</v>
      </c>
      <c r="AC17" s="57">
        <f t="shared" si="11"/>
        <v>37151.199999999997</v>
      </c>
      <c r="AD17" s="58">
        <f t="shared" si="12"/>
        <v>151.19999999999999</v>
      </c>
      <c r="AE17" s="58">
        <f t="shared" si="13"/>
        <v>756</v>
      </c>
      <c r="AG17"/>
    </row>
    <row r="18" spans="1:33">
      <c r="A18" s="2"/>
      <c r="B18" s="131">
        <f t="shared" si="0"/>
        <v>15</v>
      </c>
      <c r="C18" s="729" t="s">
        <v>65</v>
      </c>
      <c r="D18" s="128">
        <f t="shared" si="1"/>
        <v>0</v>
      </c>
      <c r="E18" s="304" t="s">
        <v>3</v>
      </c>
      <c r="F18" s="423">
        <v>15</v>
      </c>
      <c r="G18" s="418">
        <f t="shared" si="2"/>
        <v>36</v>
      </c>
      <c r="H18" s="417">
        <v>755</v>
      </c>
      <c r="I18" s="423"/>
      <c r="J18" s="418" t="str">
        <f t="shared" si="3"/>
        <v/>
      </c>
      <c r="K18" s="417"/>
      <c r="L18" s="423"/>
      <c r="M18" s="418" t="str">
        <f t="shared" si="4"/>
        <v/>
      </c>
      <c r="N18" s="417"/>
      <c r="O18" s="423"/>
      <c r="P18" s="418" t="str">
        <f t="shared" si="5"/>
        <v/>
      </c>
      <c r="Q18" s="417"/>
      <c r="R18" s="423"/>
      <c r="S18" s="424" t="str">
        <f t="shared" si="6"/>
        <v/>
      </c>
      <c r="T18" s="427"/>
      <c r="U18" s="423"/>
      <c r="V18" s="418" t="str">
        <f t="shared" si="7"/>
        <v/>
      </c>
      <c r="W18" s="417"/>
      <c r="X18" s="423"/>
      <c r="Y18" s="418" t="str">
        <f t="shared" si="8"/>
        <v/>
      </c>
      <c r="Z18" s="422"/>
      <c r="AA18" s="59">
        <f t="shared" si="14"/>
        <v>1</v>
      </c>
      <c r="AB18" s="57">
        <f t="shared" si="10"/>
        <v>36</v>
      </c>
      <c r="AC18" s="57">
        <f t="shared" si="11"/>
        <v>36151</v>
      </c>
      <c r="AD18" s="58">
        <f t="shared" si="12"/>
        <v>151</v>
      </c>
      <c r="AE18" s="58">
        <f t="shared" si="13"/>
        <v>755</v>
      </c>
      <c r="AG18"/>
    </row>
    <row r="19" spans="1:33">
      <c r="A19" s="2"/>
      <c r="B19" s="131">
        <f t="shared" si="0"/>
        <v>16</v>
      </c>
      <c r="C19" s="343" t="s">
        <v>140</v>
      </c>
      <c r="D19" s="128">
        <f t="shared" si="1"/>
        <v>0</v>
      </c>
      <c r="E19" s="132" t="s">
        <v>16</v>
      </c>
      <c r="F19" s="423">
        <v>16</v>
      </c>
      <c r="G19" s="418">
        <f t="shared" si="2"/>
        <v>35</v>
      </c>
      <c r="H19" s="417">
        <v>751</v>
      </c>
      <c r="I19" s="423"/>
      <c r="J19" s="418" t="str">
        <f t="shared" si="3"/>
        <v/>
      </c>
      <c r="K19" s="417"/>
      <c r="L19" s="423"/>
      <c r="M19" s="418" t="str">
        <f t="shared" si="4"/>
        <v/>
      </c>
      <c r="N19" s="417"/>
      <c r="O19" s="423"/>
      <c r="P19" s="418" t="str">
        <f t="shared" si="5"/>
        <v/>
      </c>
      <c r="Q19" s="417"/>
      <c r="R19" s="423"/>
      <c r="S19" s="424" t="str">
        <f t="shared" si="6"/>
        <v/>
      </c>
      <c r="T19" s="427"/>
      <c r="U19" s="423"/>
      <c r="V19" s="418" t="str">
        <f t="shared" si="7"/>
        <v/>
      </c>
      <c r="W19" s="417"/>
      <c r="X19" s="423"/>
      <c r="Y19" s="418" t="str">
        <f t="shared" si="8"/>
        <v/>
      </c>
      <c r="Z19" s="422"/>
      <c r="AA19" s="59">
        <f t="shared" si="14"/>
        <v>1</v>
      </c>
      <c r="AB19" s="57">
        <f t="shared" si="10"/>
        <v>35</v>
      </c>
      <c r="AC19" s="57">
        <f t="shared" si="11"/>
        <v>35150.199999999997</v>
      </c>
      <c r="AD19" s="58">
        <f t="shared" si="12"/>
        <v>150.19999999999999</v>
      </c>
      <c r="AE19" s="58">
        <f t="shared" si="13"/>
        <v>751</v>
      </c>
      <c r="AG19"/>
    </row>
    <row r="20" spans="1:33">
      <c r="A20" s="2"/>
      <c r="B20" s="131">
        <f t="shared" si="0"/>
        <v>17</v>
      </c>
      <c r="C20" s="300" t="s">
        <v>159</v>
      </c>
      <c r="D20" s="128">
        <f t="shared" si="1"/>
        <v>0</v>
      </c>
      <c r="E20" s="299" t="s">
        <v>5</v>
      </c>
      <c r="F20" s="423">
        <v>17</v>
      </c>
      <c r="G20" s="418">
        <f t="shared" si="2"/>
        <v>34</v>
      </c>
      <c r="H20" s="417">
        <v>749</v>
      </c>
      <c r="I20" s="423"/>
      <c r="J20" s="418" t="str">
        <f t="shared" si="3"/>
        <v/>
      </c>
      <c r="K20" s="417"/>
      <c r="L20" s="423"/>
      <c r="M20" s="418" t="str">
        <f t="shared" si="4"/>
        <v/>
      </c>
      <c r="N20" s="417"/>
      <c r="O20" s="423"/>
      <c r="P20" s="418" t="str">
        <f t="shared" si="5"/>
        <v/>
      </c>
      <c r="Q20" s="417"/>
      <c r="R20" s="423"/>
      <c r="S20" s="424" t="str">
        <f t="shared" si="6"/>
        <v/>
      </c>
      <c r="T20" s="427"/>
      <c r="U20" s="423"/>
      <c r="V20" s="418" t="str">
        <f t="shared" si="7"/>
        <v/>
      </c>
      <c r="W20" s="417"/>
      <c r="X20" s="423"/>
      <c r="Y20" s="418" t="str">
        <f t="shared" si="8"/>
        <v/>
      </c>
      <c r="Z20" s="422"/>
      <c r="AA20" s="59">
        <f t="shared" si="14"/>
        <v>1</v>
      </c>
      <c r="AB20" s="57">
        <f t="shared" si="10"/>
        <v>34</v>
      </c>
      <c r="AC20" s="57">
        <f t="shared" si="11"/>
        <v>34149.800000000003</v>
      </c>
      <c r="AD20" s="58">
        <f t="shared" si="12"/>
        <v>149.80000000000001</v>
      </c>
      <c r="AE20" s="58">
        <f t="shared" si="13"/>
        <v>749</v>
      </c>
      <c r="AG20"/>
    </row>
    <row r="21" spans="1:33">
      <c r="A21" s="2"/>
      <c r="B21" s="131">
        <f t="shared" si="0"/>
        <v>18</v>
      </c>
      <c r="C21" s="301" t="s">
        <v>80</v>
      </c>
      <c r="D21" s="128">
        <f t="shared" si="1"/>
        <v>0</v>
      </c>
      <c r="E21" s="299" t="s">
        <v>5</v>
      </c>
      <c r="F21" s="423">
        <v>18</v>
      </c>
      <c r="G21" s="418">
        <f t="shared" si="2"/>
        <v>33</v>
      </c>
      <c r="H21" s="417">
        <v>749</v>
      </c>
      <c r="I21" s="430"/>
      <c r="J21" s="418" t="str">
        <f t="shared" si="3"/>
        <v/>
      </c>
      <c r="K21" s="417"/>
      <c r="L21" s="423"/>
      <c r="M21" s="418" t="str">
        <f t="shared" si="4"/>
        <v/>
      </c>
      <c r="N21" s="417"/>
      <c r="O21" s="423"/>
      <c r="P21" s="418" t="str">
        <f t="shared" si="5"/>
        <v/>
      </c>
      <c r="Q21" s="417"/>
      <c r="R21" s="423"/>
      <c r="S21" s="424" t="str">
        <f t="shared" si="6"/>
        <v/>
      </c>
      <c r="T21" s="427"/>
      <c r="U21" s="423"/>
      <c r="V21" s="418" t="str">
        <f t="shared" si="7"/>
        <v/>
      </c>
      <c r="W21" s="417"/>
      <c r="X21" s="423"/>
      <c r="Y21" s="418" t="str">
        <f t="shared" si="8"/>
        <v/>
      </c>
      <c r="Z21" s="422"/>
      <c r="AA21" s="59">
        <f t="shared" si="14"/>
        <v>1</v>
      </c>
      <c r="AB21" s="57">
        <f t="shared" si="10"/>
        <v>33</v>
      </c>
      <c r="AC21" s="57">
        <f t="shared" si="11"/>
        <v>33149.800000000003</v>
      </c>
      <c r="AD21" s="58">
        <f t="shared" si="12"/>
        <v>149.80000000000001</v>
      </c>
      <c r="AE21" s="58">
        <f t="shared" si="13"/>
        <v>749</v>
      </c>
      <c r="AG21"/>
    </row>
    <row r="22" spans="1:33">
      <c r="A22" s="2"/>
      <c r="B22" s="131">
        <f t="shared" si="0"/>
        <v>19</v>
      </c>
      <c r="C22" s="129" t="s">
        <v>59</v>
      </c>
      <c r="D22" s="128">
        <f t="shared" si="1"/>
        <v>0</v>
      </c>
      <c r="E22" s="130" t="s">
        <v>6</v>
      </c>
      <c r="F22" s="423">
        <v>19</v>
      </c>
      <c r="G22" s="418">
        <f t="shared" si="2"/>
        <v>32</v>
      </c>
      <c r="H22" s="417">
        <v>748</v>
      </c>
      <c r="I22" s="430"/>
      <c r="J22" s="418" t="str">
        <f t="shared" si="3"/>
        <v/>
      </c>
      <c r="K22" s="417"/>
      <c r="L22" s="423"/>
      <c r="M22" s="418" t="str">
        <f t="shared" si="4"/>
        <v/>
      </c>
      <c r="N22" s="417"/>
      <c r="O22" s="423"/>
      <c r="P22" s="418" t="str">
        <f t="shared" si="5"/>
        <v/>
      </c>
      <c r="Q22" s="417"/>
      <c r="R22" s="423"/>
      <c r="S22" s="424" t="str">
        <f t="shared" si="6"/>
        <v/>
      </c>
      <c r="T22" s="427"/>
      <c r="U22" s="423"/>
      <c r="V22" s="418" t="str">
        <f t="shared" si="7"/>
        <v/>
      </c>
      <c r="W22" s="417"/>
      <c r="X22" s="423"/>
      <c r="Y22" s="418" t="str">
        <f t="shared" si="8"/>
        <v/>
      </c>
      <c r="Z22" s="422"/>
      <c r="AA22" s="59">
        <f t="shared" si="14"/>
        <v>1</v>
      </c>
      <c r="AB22" s="57">
        <f t="shared" si="10"/>
        <v>32</v>
      </c>
      <c r="AC22" s="57">
        <f t="shared" si="11"/>
        <v>32149.599999999999</v>
      </c>
      <c r="AD22" s="58">
        <f t="shared" si="12"/>
        <v>149.6</v>
      </c>
      <c r="AE22" s="58">
        <f t="shared" si="13"/>
        <v>748</v>
      </c>
      <c r="AG22"/>
    </row>
    <row r="23" spans="1:33">
      <c r="A23" s="2"/>
      <c r="B23" s="131">
        <f t="shared" si="0"/>
        <v>20</v>
      </c>
      <c r="C23" s="301" t="s">
        <v>4</v>
      </c>
      <c r="D23" s="128">
        <f t="shared" si="1"/>
        <v>0</v>
      </c>
      <c r="E23" s="299" t="s">
        <v>5</v>
      </c>
      <c r="F23" s="423">
        <v>20</v>
      </c>
      <c r="G23" s="418">
        <f t="shared" si="2"/>
        <v>31</v>
      </c>
      <c r="H23" s="417">
        <v>748</v>
      </c>
      <c r="I23" s="430"/>
      <c r="J23" s="418" t="str">
        <f t="shared" si="3"/>
        <v/>
      </c>
      <c r="K23" s="431"/>
      <c r="L23" s="423"/>
      <c r="M23" s="418" t="str">
        <f t="shared" si="4"/>
        <v/>
      </c>
      <c r="N23" s="417"/>
      <c r="O23" s="423"/>
      <c r="P23" s="418" t="str">
        <f t="shared" si="5"/>
        <v/>
      </c>
      <c r="Q23" s="417"/>
      <c r="R23" s="423"/>
      <c r="S23" s="424" t="str">
        <f t="shared" si="6"/>
        <v/>
      </c>
      <c r="T23" s="427"/>
      <c r="U23" s="423"/>
      <c r="V23" s="418" t="str">
        <f t="shared" si="7"/>
        <v/>
      </c>
      <c r="W23" s="417"/>
      <c r="X23" s="423"/>
      <c r="Y23" s="418" t="str">
        <f t="shared" si="8"/>
        <v/>
      </c>
      <c r="Z23" s="422"/>
      <c r="AA23" s="59">
        <f t="shared" si="14"/>
        <v>1</v>
      </c>
      <c r="AB23" s="57">
        <f t="shared" si="10"/>
        <v>31</v>
      </c>
      <c r="AC23" s="57">
        <f t="shared" si="11"/>
        <v>31149.599999999999</v>
      </c>
      <c r="AD23" s="58">
        <f t="shared" si="12"/>
        <v>149.6</v>
      </c>
      <c r="AE23" s="58">
        <f t="shared" si="13"/>
        <v>748</v>
      </c>
      <c r="AG23"/>
    </row>
    <row r="24" spans="1:33">
      <c r="A24" s="2"/>
      <c r="B24" s="131">
        <f t="shared" si="0"/>
        <v>21</v>
      </c>
      <c r="C24" s="300" t="s">
        <v>35</v>
      </c>
      <c r="D24" s="128">
        <f t="shared" si="1"/>
        <v>0</v>
      </c>
      <c r="E24" s="299" t="s">
        <v>5</v>
      </c>
      <c r="F24" s="423">
        <v>21</v>
      </c>
      <c r="G24" s="418">
        <f t="shared" si="2"/>
        <v>30</v>
      </c>
      <c r="H24" s="417">
        <v>737</v>
      </c>
      <c r="I24" s="430"/>
      <c r="J24" s="418" t="str">
        <f t="shared" si="3"/>
        <v/>
      </c>
      <c r="K24" s="431"/>
      <c r="L24" s="423"/>
      <c r="M24" s="418" t="str">
        <f t="shared" si="4"/>
        <v/>
      </c>
      <c r="N24" s="417"/>
      <c r="O24" s="423"/>
      <c r="P24" s="418" t="str">
        <f t="shared" si="5"/>
        <v/>
      </c>
      <c r="Q24" s="417"/>
      <c r="R24" s="423"/>
      <c r="S24" s="424" t="str">
        <f t="shared" si="6"/>
        <v/>
      </c>
      <c r="T24" s="427"/>
      <c r="U24" s="423"/>
      <c r="V24" s="418" t="str">
        <f t="shared" si="7"/>
        <v/>
      </c>
      <c r="W24" s="417"/>
      <c r="X24" s="423"/>
      <c r="Y24" s="418" t="str">
        <f t="shared" si="8"/>
        <v/>
      </c>
      <c r="Z24" s="422"/>
      <c r="AA24" s="59">
        <f t="shared" si="14"/>
        <v>1</v>
      </c>
      <c r="AB24" s="57">
        <f t="shared" si="10"/>
        <v>30</v>
      </c>
      <c r="AC24" s="57">
        <f t="shared" si="11"/>
        <v>30147.4</v>
      </c>
      <c r="AD24" s="58">
        <f t="shared" si="12"/>
        <v>147.4</v>
      </c>
      <c r="AE24" s="58">
        <f t="shared" si="13"/>
        <v>737</v>
      </c>
      <c r="AG24"/>
    </row>
    <row r="25" spans="1:33">
      <c r="A25" s="2"/>
      <c r="B25" s="131">
        <f t="shared" si="0"/>
        <v>22</v>
      </c>
      <c r="C25" s="728" t="s">
        <v>66</v>
      </c>
      <c r="D25" s="128">
        <f t="shared" si="1"/>
        <v>0</v>
      </c>
      <c r="E25" s="304" t="s">
        <v>3</v>
      </c>
      <c r="F25" s="423">
        <v>22</v>
      </c>
      <c r="G25" s="418">
        <f t="shared" si="2"/>
        <v>29</v>
      </c>
      <c r="H25" s="417">
        <v>722</v>
      </c>
      <c r="I25" s="430"/>
      <c r="J25" s="418" t="str">
        <f t="shared" si="3"/>
        <v/>
      </c>
      <c r="K25" s="431"/>
      <c r="L25" s="423"/>
      <c r="M25" s="418" t="str">
        <f t="shared" si="4"/>
        <v/>
      </c>
      <c r="N25" s="417"/>
      <c r="O25" s="423"/>
      <c r="P25" s="418" t="str">
        <f t="shared" si="5"/>
        <v/>
      </c>
      <c r="Q25" s="417"/>
      <c r="R25" s="423"/>
      <c r="S25" s="424" t="str">
        <f t="shared" si="6"/>
        <v/>
      </c>
      <c r="T25" s="427"/>
      <c r="U25" s="423"/>
      <c r="V25" s="418" t="str">
        <f t="shared" si="7"/>
        <v/>
      </c>
      <c r="W25" s="417"/>
      <c r="X25" s="423"/>
      <c r="Y25" s="418" t="str">
        <f t="shared" si="8"/>
        <v/>
      </c>
      <c r="Z25" s="422"/>
      <c r="AA25" s="59">
        <f t="shared" si="14"/>
        <v>1</v>
      </c>
      <c r="AB25" s="57">
        <f t="shared" si="10"/>
        <v>29</v>
      </c>
      <c r="AC25" s="57">
        <f t="shared" si="11"/>
        <v>29144.400000000001</v>
      </c>
      <c r="AD25" s="58">
        <f t="shared" si="12"/>
        <v>144.4</v>
      </c>
      <c r="AE25" s="58">
        <f t="shared" si="13"/>
        <v>722</v>
      </c>
      <c r="AG25"/>
    </row>
    <row r="26" spans="1:33">
      <c r="A26" s="2"/>
      <c r="B26" s="131">
        <f t="shared" si="0"/>
        <v>23</v>
      </c>
      <c r="C26" s="300" t="s">
        <v>9</v>
      </c>
      <c r="D26" s="128">
        <f t="shared" si="1"/>
        <v>0</v>
      </c>
      <c r="E26" s="299" t="s">
        <v>5</v>
      </c>
      <c r="F26" s="423">
        <v>23</v>
      </c>
      <c r="G26" s="418">
        <f t="shared" si="2"/>
        <v>28</v>
      </c>
      <c r="H26" s="417">
        <v>721</v>
      </c>
      <c r="I26" s="430"/>
      <c r="J26" s="418" t="str">
        <f t="shared" si="3"/>
        <v/>
      </c>
      <c r="K26" s="431"/>
      <c r="L26" s="423"/>
      <c r="M26" s="418" t="str">
        <f t="shared" si="4"/>
        <v/>
      </c>
      <c r="N26" s="417"/>
      <c r="O26" s="423"/>
      <c r="P26" s="418" t="str">
        <f t="shared" si="5"/>
        <v/>
      </c>
      <c r="Q26" s="417"/>
      <c r="R26" s="423"/>
      <c r="S26" s="424" t="str">
        <f t="shared" si="6"/>
        <v/>
      </c>
      <c r="T26" s="427"/>
      <c r="U26" s="423"/>
      <c r="V26" s="418" t="str">
        <f t="shared" si="7"/>
        <v/>
      </c>
      <c r="W26" s="417"/>
      <c r="X26" s="423"/>
      <c r="Y26" s="418" t="str">
        <f t="shared" si="8"/>
        <v/>
      </c>
      <c r="Z26" s="422"/>
      <c r="AA26" s="59">
        <f t="shared" si="14"/>
        <v>1</v>
      </c>
      <c r="AB26" s="57">
        <f t="shared" si="10"/>
        <v>28</v>
      </c>
      <c r="AC26" s="57">
        <f t="shared" si="11"/>
        <v>28144.2</v>
      </c>
      <c r="AD26" s="58">
        <f t="shared" si="12"/>
        <v>144.19999999999999</v>
      </c>
      <c r="AE26" s="58">
        <f t="shared" si="13"/>
        <v>721</v>
      </c>
      <c r="AG26"/>
    </row>
    <row r="27" spans="1:33">
      <c r="A27" s="2"/>
      <c r="B27" s="131">
        <f t="shared" si="0"/>
        <v>24</v>
      </c>
      <c r="C27" s="727" t="s">
        <v>33</v>
      </c>
      <c r="D27" s="128">
        <f t="shared" si="1"/>
        <v>0</v>
      </c>
      <c r="E27" s="310" t="s">
        <v>0</v>
      </c>
      <c r="F27" s="423">
        <v>24</v>
      </c>
      <c r="G27" s="418">
        <f t="shared" si="2"/>
        <v>27</v>
      </c>
      <c r="H27" s="417">
        <v>721</v>
      </c>
      <c r="I27" s="430"/>
      <c r="J27" s="418" t="str">
        <f t="shared" si="3"/>
        <v/>
      </c>
      <c r="K27" s="431"/>
      <c r="L27" s="423"/>
      <c r="M27" s="418" t="str">
        <f t="shared" si="4"/>
        <v/>
      </c>
      <c r="N27" s="417"/>
      <c r="O27" s="423"/>
      <c r="P27" s="418" t="str">
        <f t="shared" si="5"/>
        <v/>
      </c>
      <c r="Q27" s="417"/>
      <c r="R27" s="423"/>
      <c r="S27" s="424" t="str">
        <f t="shared" si="6"/>
        <v/>
      </c>
      <c r="T27" s="427"/>
      <c r="U27" s="423"/>
      <c r="V27" s="418" t="str">
        <f t="shared" si="7"/>
        <v/>
      </c>
      <c r="W27" s="417"/>
      <c r="X27" s="423"/>
      <c r="Y27" s="418" t="str">
        <f t="shared" si="8"/>
        <v/>
      </c>
      <c r="Z27" s="422"/>
      <c r="AA27" s="57">
        <f t="shared" si="14"/>
        <v>1</v>
      </c>
      <c r="AB27" s="57">
        <f t="shared" si="10"/>
        <v>27</v>
      </c>
      <c r="AC27" s="57">
        <f t="shared" si="11"/>
        <v>27144.2</v>
      </c>
      <c r="AD27" s="58">
        <f t="shared" si="12"/>
        <v>144.19999999999999</v>
      </c>
      <c r="AE27" s="58">
        <f t="shared" si="13"/>
        <v>721</v>
      </c>
      <c r="AG27"/>
    </row>
    <row r="28" spans="1:33">
      <c r="A28" s="2"/>
      <c r="B28" s="131">
        <f t="shared" si="0"/>
        <v>25</v>
      </c>
      <c r="C28" s="301" t="s">
        <v>79</v>
      </c>
      <c r="D28" s="128">
        <f t="shared" si="1"/>
        <v>0</v>
      </c>
      <c r="E28" s="299" t="s">
        <v>5</v>
      </c>
      <c r="F28" s="423">
        <v>25</v>
      </c>
      <c r="G28" s="418">
        <f t="shared" si="2"/>
        <v>26</v>
      </c>
      <c r="H28" s="417">
        <v>716</v>
      </c>
      <c r="I28" s="430"/>
      <c r="J28" s="418" t="str">
        <f t="shared" si="3"/>
        <v/>
      </c>
      <c r="K28" s="431"/>
      <c r="L28" s="423"/>
      <c r="M28" s="418" t="str">
        <f t="shared" si="4"/>
        <v/>
      </c>
      <c r="N28" s="417"/>
      <c r="O28" s="423"/>
      <c r="P28" s="418" t="str">
        <f t="shared" si="5"/>
        <v/>
      </c>
      <c r="Q28" s="417"/>
      <c r="R28" s="423"/>
      <c r="S28" s="424" t="str">
        <f t="shared" si="6"/>
        <v/>
      </c>
      <c r="T28" s="427"/>
      <c r="U28" s="423"/>
      <c r="V28" s="418" t="str">
        <f t="shared" si="7"/>
        <v/>
      </c>
      <c r="W28" s="417"/>
      <c r="X28" s="423"/>
      <c r="Y28" s="418" t="str">
        <f t="shared" si="8"/>
        <v/>
      </c>
      <c r="Z28" s="422"/>
      <c r="AA28" s="59">
        <f t="shared" si="14"/>
        <v>1</v>
      </c>
      <c r="AB28" s="57">
        <f t="shared" si="10"/>
        <v>26</v>
      </c>
      <c r="AC28" s="57">
        <f t="shared" si="11"/>
        <v>26143.200000000001</v>
      </c>
      <c r="AD28" s="58">
        <f t="shared" si="12"/>
        <v>143.19999999999999</v>
      </c>
      <c r="AE28" s="58">
        <f t="shared" si="13"/>
        <v>716</v>
      </c>
      <c r="AG28"/>
    </row>
    <row r="29" spans="1:33">
      <c r="A29" s="2"/>
      <c r="B29" s="131">
        <f t="shared" si="0"/>
        <v>26</v>
      </c>
      <c r="C29" s="375" t="s">
        <v>94</v>
      </c>
      <c r="D29" s="128">
        <f t="shared" si="1"/>
        <v>0</v>
      </c>
      <c r="E29" s="132" t="s">
        <v>16</v>
      </c>
      <c r="F29" s="423">
        <v>26</v>
      </c>
      <c r="G29" s="418">
        <f t="shared" si="2"/>
        <v>25</v>
      </c>
      <c r="H29" s="417">
        <v>712</v>
      </c>
      <c r="I29" s="430"/>
      <c r="J29" s="418" t="str">
        <f t="shared" si="3"/>
        <v/>
      </c>
      <c r="K29" s="431"/>
      <c r="L29" s="423"/>
      <c r="M29" s="418" t="str">
        <f t="shared" si="4"/>
        <v/>
      </c>
      <c r="N29" s="417"/>
      <c r="O29" s="423"/>
      <c r="P29" s="418" t="str">
        <f t="shared" si="5"/>
        <v/>
      </c>
      <c r="Q29" s="417"/>
      <c r="R29" s="423"/>
      <c r="S29" s="424" t="str">
        <f t="shared" si="6"/>
        <v/>
      </c>
      <c r="T29" s="427"/>
      <c r="U29" s="423"/>
      <c r="V29" s="418" t="str">
        <f t="shared" si="7"/>
        <v/>
      </c>
      <c r="W29" s="417"/>
      <c r="X29" s="423"/>
      <c r="Y29" s="418" t="str">
        <f t="shared" si="8"/>
        <v/>
      </c>
      <c r="Z29" s="422"/>
      <c r="AA29" s="59">
        <f t="shared" si="14"/>
        <v>1</v>
      </c>
      <c r="AB29" s="57">
        <f t="shared" si="10"/>
        <v>25</v>
      </c>
      <c r="AC29" s="57">
        <f t="shared" si="11"/>
        <v>25142.400000000001</v>
      </c>
      <c r="AD29" s="58">
        <f t="shared" si="12"/>
        <v>142.4</v>
      </c>
      <c r="AE29" s="58">
        <f t="shared" si="13"/>
        <v>712</v>
      </c>
      <c r="AG29"/>
    </row>
    <row r="30" spans="1:33">
      <c r="A30" s="2"/>
      <c r="B30" s="131">
        <f t="shared" si="0"/>
        <v>27</v>
      </c>
      <c r="C30" s="302" t="s">
        <v>36</v>
      </c>
      <c r="D30" s="128">
        <f t="shared" si="1"/>
        <v>0</v>
      </c>
      <c r="E30" s="299" t="s">
        <v>5</v>
      </c>
      <c r="F30" s="423">
        <v>27</v>
      </c>
      <c r="G30" s="418">
        <f t="shared" si="2"/>
        <v>24</v>
      </c>
      <c r="H30" s="417">
        <v>712</v>
      </c>
      <c r="I30" s="430"/>
      <c r="J30" s="418" t="str">
        <f t="shared" si="3"/>
        <v/>
      </c>
      <c r="K30" s="431"/>
      <c r="L30" s="423"/>
      <c r="M30" s="418" t="str">
        <f t="shared" si="4"/>
        <v/>
      </c>
      <c r="N30" s="417"/>
      <c r="O30" s="423"/>
      <c r="P30" s="418" t="str">
        <f t="shared" si="5"/>
        <v/>
      </c>
      <c r="Q30" s="417"/>
      <c r="R30" s="423"/>
      <c r="S30" s="424" t="str">
        <f t="shared" si="6"/>
        <v/>
      </c>
      <c r="T30" s="427"/>
      <c r="U30" s="423"/>
      <c r="V30" s="418" t="str">
        <f t="shared" si="7"/>
        <v/>
      </c>
      <c r="W30" s="417"/>
      <c r="X30" s="423"/>
      <c r="Y30" s="418" t="str">
        <f t="shared" si="8"/>
        <v/>
      </c>
      <c r="Z30" s="422"/>
      <c r="AA30" s="59">
        <f t="shared" si="14"/>
        <v>1</v>
      </c>
      <c r="AB30" s="57">
        <f t="shared" si="10"/>
        <v>24</v>
      </c>
      <c r="AC30" s="57">
        <f t="shared" si="11"/>
        <v>24142.400000000001</v>
      </c>
      <c r="AD30" s="58">
        <f t="shared" si="12"/>
        <v>142.4</v>
      </c>
      <c r="AE30" s="58">
        <f t="shared" si="13"/>
        <v>712</v>
      </c>
      <c r="AG30"/>
    </row>
    <row r="31" spans="1:33">
      <c r="A31" s="2"/>
      <c r="B31" s="131">
        <f t="shared" si="0"/>
        <v>28</v>
      </c>
      <c r="C31" s="344" t="s">
        <v>101</v>
      </c>
      <c r="D31" s="128">
        <f t="shared" si="1"/>
        <v>0</v>
      </c>
      <c r="E31" s="130" t="s">
        <v>6</v>
      </c>
      <c r="F31" s="423">
        <v>28</v>
      </c>
      <c r="G31" s="418">
        <f t="shared" si="2"/>
        <v>23</v>
      </c>
      <c r="H31" s="417">
        <v>710</v>
      </c>
      <c r="I31" s="430"/>
      <c r="J31" s="418" t="str">
        <f t="shared" si="3"/>
        <v/>
      </c>
      <c r="K31" s="431"/>
      <c r="L31" s="423"/>
      <c r="M31" s="418" t="str">
        <f t="shared" si="4"/>
        <v/>
      </c>
      <c r="N31" s="417"/>
      <c r="O31" s="423"/>
      <c r="P31" s="418" t="str">
        <f t="shared" si="5"/>
        <v/>
      </c>
      <c r="Q31" s="417"/>
      <c r="R31" s="423"/>
      <c r="S31" s="424" t="str">
        <f t="shared" si="6"/>
        <v/>
      </c>
      <c r="T31" s="427"/>
      <c r="U31" s="423"/>
      <c r="V31" s="418" t="str">
        <f t="shared" si="7"/>
        <v/>
      </c>
      <c r="W31" s="417"/>
      <c r="X31" s="423"/>
      <c r="Y31" s="418" t="str">
        <f t="shared" si="8"/>
        <v/>
      </c>
      <c r="Z31" s="422"/>
      <c r="AA31" s="57">
        <f t="shared" si="14"/>
        <v>1</v>
      </c>
      <c r="AB31" s="57">
        <f t="shared" si="10"/>
        <v>23</v>
      </c>
      <c r="AC31" s="57">
        <f t="shared" si="11"/>
        <v>23142</v>
      </c>
      <c r="AD31" s="58">
        <f t="shared" si="12"/>
        <v>142</v>
      </c>
      <c r="AE31" s="58">
        <f t="shared" si="13"/>
        <v>710</v>
      </c>
      <c r="AG31"/>
    </row>
    <row r="32" spans="1:33">
      <c r="A32" s="2"/>
      <c r="B32" s="131">
        <f t="shared" si="0"/>
        <v>29</v>
      </c>
      <c r="C32" s="308" t="s">
        <v>118</v>
      </c>
      <c r="D32" s="128">
        <f t="shared" si="1"/>
        <v>0</v>
      </c>
      <c r="E32" s="310" t="s">
        <v>0</v>
      </c>
      <c r="F32" s="423">
        <v>29</v>
      </c>
      <c r="G32" s="418">
        <f t="shared" si="2"/>
        <v>22</v>
      </c>
      <c r="H32" s="417">
        <v>709</v>
      </c>
      <c r="I32" s="430"/>
      <c r="J32" s="418" t="str">
        <f t="shared" si="3"/>
        <v/>
      </c>
      <c r="K32" s="431"/>
      <c r="L32" s="423"/>
      <c r="M32" s="418" t="str">
        <f t="shared" si="4"/>
        <v/>
      </c>
      <c r="N32" s="427"/>
      <c r="O32" s="423"/>
      <c r="P32" s="418" t="str">
        <f t="shared" si="5"/>
        <v/>
      </c>
      <c r="Q32" s="417"/>
      <c r="R32" s="423"/>
      <c r="S32" s="424" t="str">
        <f t="shared" si="6"/>
        <v/>
      </c>
      <c r="T32" s="427"/>
      <c r="U32" s="423"/>
      <c r="V32" s="418" t="str">
        <f t="shared" si="7"/>
        <v/>
      </c>
      <c r="W32" s="417"/>
      <c r="X32" s="423"/>
      <c r="Y32" s="418" t="str">
        <f t="shared" si="8"/>
        <v/>
      </c>
      <c r="Z32" s="422"/>
      <c r="AA32" s="57">
        <f t="shared" si="14"/>
        <v>1</v>
      </c>
      <c r="AB32" s="57">
        <f t="shared" si="10"/>
        <v>22</v>
      </c>
      <c r="AC32" s="57">
        <f t="shared" si="11"/>
        <v>22141.8</v>
      </c>
      <c r="AD32" s="58">
        <f t="shared" si="12"/>
        <v>141.80000000000001</v>
      </c>
      <c r="AE32" s="58">
        <f t="shared" si="13"/>
        <v>709</v>
      </c>
      <c r="AG32"/>
    </row>
    <row r="33" spans="1:33">
      <c r="A33" s="2"/>
      <c r="B33" s="131">
        <f t="shared" si="0"/>
        <v>30</v>
      </c>
      <c r="C33" s="305" t="s">
        <v>67</v>
      </c>
      <c r="D33" s="128">
        <f t="shared" si="1"/>
        <v>0</v>
      </c>
      <c r="E33" s="304" t="s">
        <v>3</v>
      </c>
      <c r="F33" s="423">
        <v>30</v>
      </c>
      <c r="G33" s="418">
        <f t="shared" si="2"/>
        <v>21</v>
      </c>
      <c r="H33" s="417">
        <v>709</v>
      </c>
      <c r="I33" s="430"/>
      <c r="J33" s="418" t="str">
        <f t="shared" si="3"/>
        <v/>
      </c>
      <c r="K33" s="431"/>
      <c r="L33" s="423"/>
      <c r="M33" s="418" t="str">
        <f t="shared" si="4"/>
        <v/>
      </c>
      <c r="N33" s="427"/>
      <c r="O33" s="423"/>
      <c r="P33" s="418" t="str">
        <f t="shared" si="5"/>
        <v/>
      </c>
      <c r="Q33" s="417"/>
      <c r="R33" s="423"/>
      <c r="S33" s="424" t="str">
        <f t="shared" si="6"/>
        <v/>
      </c>
      <c r="T33" s="427"/>
      <c r="U33" s="423"/>
      <c r="V33" s="418" t="str">
        <f t="shared" si="7"/>
        <v/>
      </c>
      <c r="W33" s="417"/>
      <c r="X33" s="423"/>
      <c r="Y33" s="418" t="str">
        <f t="shared" si="8"/>
        <v/>
      </c>
      <c r="Z33" s="422"/>
      <c r="AA33" s="59">
        <f t="shared" si="14"/>
        <v>1</v>
      </c>
      <c r="AB33" s="57">
        <f t="shared" si="10"/>
        <v>21</v>
      </c>
      <c r="AC33" s="57">
        <f t="shared" si="11"/>
        <v>21141.8</v>
      </c>
      <c r="AD33" s="58">
        <f t="shared" si="12"/>
        <v>141.80000000000001</v>
      </c>
      <c r="AE33" s="58">
        <f t="shared" si="13"/>
        <v>709</v>
      </c>
      <c r="AG33"/>
    </row>
    <row r="34" spans="1:33">
      <c r="A34" s="2"/>
      <c r="B34" s="131">
        <f t="shared" si="0"/>
        <v>31</v>
      </c>
      <c r="C34" s="309" t="s">
        <v>221</v>
      </c>
      <c r="D34" s="128">
        <f t="shared" si="1"/>
        <v>0</v>
      </c>
      <c r="E34" s="310" t="s">
        <v>0</v>
      </c>
      <c r="F34" s="423">
        <v>31</v>
      </c>
      <c r="G34" s="418">
        <f t="shared" si="2"/>
        <v>20</v>
      </c>
      <c r="H34" s="417">
        <v>701</v>
      </c>
      <c r="I34" s="430"/>
      <c r="J34" s="418" t="str">
        <f t="shared" si="3"/>
        <v/>
      </c>
      <c r="K34" s="431"/>
      <c r="L34" s="423"/>
      <c r="M34" s="418" t="str">
        <f t="shared" si="4"/>
        <v/>
      </c>
      <c r="N34" s="417"/>
      <c r="O34" s="423"/>
      <c r="P34" s="418" t="str">
        <f t="shared" si="5"/>
        <v/>
      </c>
      <c r="Q34" s="417"/>
      <c r="R34" s="423"/>
      <c r="S34" s="424" t="str">
        <f t="shared" si="6"/>
        <v/>
      </c>
      <c r="T34" s="427"/>
      <c r="U34" s="423"/>
      <c r="V34" s="418" t="str">
        <f t="shared" si="7"/>
        <v/>
      </c>
      <c r="W34" s="417"/>
      <c r="X34" s="423"/>
      <c r="Y34" s="418" t="str">
        <f t="shared" si="8"/>
        <v/>
      </c>
      <c r="Z34" s="422"/>
      <c r="AA34" s="59">
        <f t="shared" si="14"/>
        <v>1</v>
      </c>
      <c r="AB34" s="57">
        <f t="shared" si="10"/>
        <v>20</v>
      </c>
      <c r="AC34" s="57">
        <f t="shared" si="11"/>
        <v>20140.2</v>
      </c>
      <c r="AD34" s="58">
        <f t="shared" si="12"/>
        <v>140.19999999999999</v>
      </c>
      <c r="AE34" s="58">
        <f t="shared" si="13"/>
        <v>701</v>
      </c>
      <c r="AG34"/>
    </row>
    <row r="35" spans="1:33">
      <c r="A35" s="2"/>
      <c r="B35" s="131">
        <f t="shared" si="0"/>
        <v>32</v>
      </c>
      <c r="C35" s="308" t="s">
        <v>76</v>
      </c>
      <c r="D35" s="128">
        <f t="shared" si="1"/>
        <v>0</v>
      </c>
      <c r="E35" s="310" t="s">
        <v>0</v>
      </c>
      <c r="F35" s="423">
        <v>32</v>
      </c>
      <c r="G35" s="418">
        <f t="shared" si="2"/>
        <v>19</v>
      </c>
      <c r="H35" s="417">
        <v>694</v>
      </c>
      <c r="I35" s="430"/>
      <c r="J35" s="418" t="str">
        <f t="shared" si="3"/>
        <v/>
      </c>
      <c r="K35" s="431"/>
      <c r="L35" s="423"/>
      <c r="M35" s="418" t="str">
        <f t="shared" si="4"/>
        <v/>
      </c>
      <c r="N35" s="417"/>
      <c r="O35" s="423"/>
      <c r="P35" s="418" t="str">
        <f t="shared" si="5"/>
        <v/>
      </c>
      <c r="Q35" s="417"/>
      <c r="R35" s="423"/>
      <c r="S35" s="424" t="str">
        <f t="shared" si="6"/>
        <v/>
      </c>
      <c r="T35" s="427"/>
      <c r="U35" s="423"/>
      <c r="V35" s="418" t="str">
        <f t="shared" si="7"/>
        <v/>
      </c>
      <c r="W35" s="417"/>
      <c r="X35" s="423"/>
      <c r="Y35" s="418" t="str">
        <f t="shared" si="8"/>
        <v/>
      </c>
      <c r="Z35" s="422"/>
      <c r="AA35" s="59">
        <f t="shared" si="14"/>
        <v>1</v>
      </c>
      <c r="AB35" s="57">
        <f t="shared" si="10"/>
        <v>19</v>
      </c>
      <c r="AC35" s="57">
        <f t="shared" si="11"/>
        <v>19138.8</v>
      </c>
      <c r="AD35" s="58">
        <f t="shared" si="12"/>
        <v>138.80000000000001</v>
      </c>
      <c r="AE35" s="58">
        <f t="shared" si="13"/>
        <v>694</v>
      </c>
      <c r="AG35"/>
    </row>
    <row r="36" spans="1:33">
      <c r="A36" s="2"/>
      <c r="B36" s="131">
        <f t="shared" ref="B36:B70" si="15">SUM(B35+1)</f>
        <v>33</v>
      </c>
      <c r="C36" s="126" t="s">
        <v>14</v>
      </c>
      <c r="D36" s="128">
        <f t="shared" ref="D36:D67" si="16">IF(AA36&lt;2,0,1)</f>
        <v>0</v>
      </c>
      <c r="E36" s="132" t="s">
        <v>16</v>
      </c>
      <c r="F36" s="423">
        <v>33</v>
      </c>
      <c r="G36" s="418">
        <f t="shared" ref="G36:G67" si="17">IF(F36="","",IF(F36&gt;50,"",51-F36))</f>
        <v>18</v>
      </c>
      <c r="H36" s="417">
        <v>694</v>
      </c>
      <c r="I36" s="430"/>
      <c r="J36" s="418" t="str">
        <f t="shared" ref="J36:J67" si="18">IF(I36="","",IF(I36&gt;50,"",51-I36))</f>
        <v/>
      </c>
      <c r="K36" s="431"/>
      <c r="L36" s="423"/>
      <c r="M36" s="418" t="str">
        <f t="shared" ref="M36:M60" si="19">IF(L36="","",IF(L36&gt;50,"",51-L36))</f>
        <v/>
      </c>
      <c r="N36" s="417"/>
      <c r="O36" s="423"/>
      <c r="P36" s="418" t="str">
        <f t="shared" ref="P36:P52" si="20">IF(O36="","",IF(O36&gt;50,"",51-O36))</f>
        <v/>
      </c>
      <c r="Q36" s="417"/>
      <c r="R36" s="423"/>
      <c r="S36" s="424" t="str">
        <f t="shared" ref="S36:S67" si="21">IF(R36="","",IF(R36&gt;50,"",51-R36))</f>
        <v/>
      </c>
      <c r="T36" s="427"/>
      <c r="U36" s="423"/>
      <c r="V36" s="418" t="str">
        <f t="shared" ref="V36:V67" si="22">IF(U36="","",IF(U36&gt;50,"",51-U36))</f>
        <v/>
      </c>
      <c r="W36" s="417"/>
      <c r="X36" s="423"/>
      <c r="Y36" s="418" t="str">
        <f t="shared" ref="Y36:Y67" si="23">IF(X36="","",IF(X36&gt;50,"",51-X36))</f>
        <v/>
      </c>
      <c r="Z36" s="422"/>
      <c r="AA36" s="59">
        <f t="shared" si="14"/>
        <v>1</v>
      </c>
      <c r="AB36" s="57">
        <f t="shared" ref="AB36:AB67" si="24">SUM(G36,J36,M36,P36,S36,V36,Y36)</f>
        <v>18</v>
      </c>
      <c r="AC36" s="57">
        <f t="shared" ref="AC36:AC67" si="25">IF(AB36=0,"",SUM(AB36*1000)+AD36)</f>
        <v>18138.8</v>
      </c>
      <c r="AD36" s="58">
        <f t="shared" ref="AD36:AD58" si="26">IF(AA36=0,"",AE36/5)</f>
        <v>138.80000000000001</v>
      </c>
      <c r="AE36" s="58">
        <f t="shared" ref="AE36:AE58" si="27">IF(AA36=0,"",(H36+K36+N36+Q36+T36+W36+Z36)/AA36)</f>
        <v>694</v>
      </c>
      <c r="AG36"/>
    </row>
    <row r="37" spans="1:33">
      <c r="A37" s="2"/>
      <c r="B37" s="131">
        <f t="shared" si="15"/>
        <v>34</v>
      </c>
      <c r="C37" s="731" t="s">
        <v>102</v>
      </c>
      <c r="D37" s="128">
        <f t="shared" si="16"/>
        <v>0</v>
      </c>
      <c r="E37" s="130" t="s">
        <v>6</v>
      </c>
      <c r="F37" s="423">
        <v>34</v>
      </c>
      <c r="G37" s="418">
        <f t="shared" si="17"/>
        <v>17</v>
      </c>
      <c r="H37" s="417">
        <v>686</v>
      </c>
      <c r="I37" s="430"/>
      <c r="J37" s="418" t="str">
        <f t="shared" si="18"/>
        <v/>
      </c>
      <c r="K37" s="431"/>
      <c r="L37" s="423"/>
      <c r="M37" s="418" t="str">
        <f t="shared" si="19"/>
        <v/>
      </c>
      <c r="N37" s="417"/>
      <c r="O37" s="423"/>
      <c r="P37" s="418" t="str">
        <f t="shared" si="20"/>
        <v/>
      </c>
      <c r="Q37" s="417"/>
      <c r="R37" s="423"/>
      <c r="S37" s="424" t="str">
        <f t="shared" si="21"/>
        <v/>
      </c>
      <c r="T37" s="427"/>
      <c r="U37" s="423"/>
      <c r="V37" s="418" t="str">
        <f t="shared" si="22"/>
        <v/>
      </c>
      <c r="W37" s="417"/>
      <c r="X37" s="423"/>
      <c r="Y37" s="418" t="str">
        <f t="shared" si="23"/>
        <v/>
      </c>
      <c r="Z37" s="422"/>
      <c r="AA37" s="59">
        <f t="shared" si="14"/>
        <v>1</v>
      </c>
      <c r="AB37" s="57">
        <f t="shared" si="24"/>
        <v>17</v>
      </c>
      <c r="AC37" s="57">
        <f t="shared" si="25"/>
        <v>17137.2</v>
      </c>
      <c r="AD37" s="58">
        <f t="shared" si="26"/>
        <v>137.19999999999999</v>
      </c>
      <c r="AE37" s="58">
        <f t="shared" si="27"/>
        <v>686</v>
      </c>
      <c r="AG37"/>
    </row>
    <row r="38" spans="1:33">
      <c r="A38" s="2"/>
      <c r="B38" s="131">
        <f t="shared" si="15"/>
        <v>35</v>
      </c>
      <c r="C38" s="305" t="s">
        <v>90</v>
      </c>
      <c r="D38" s="128">
        <f t="shared" si="16"/>
        <v>0</v>
      </c>
      <c r="E38" s="304" t="s">
        <v>3</v>
      </c>
      <c r="F38" s="423">
        <v>35</v>
      </c>
      <c r="G38" s="418">
        <f t="shared" si="17"/>
        <v>16</v>
      </c>
      <c r="H38" s="417">
        <v>684</v>
      </c>
      <c r="I38" s="430"/>
      <c r="J38" s="418" t="str">
        <f t="shared" si="18"/>
        <v/>
      </c>
      <c r="K38" s="431"/>
      <c r="L38" s="423"/>
      <c r="M38" s="418" t="str">
        <f t="shared" si="19"/>
        <v/>
      </c>
      <c r="N38" s="417"/>
      <c r="O38" s="423"/>
      <c r="P38" s="418" t="str">
        <f t="shared" si="20"/>
        <v/>
      </c>
      <c r="Q38" s="417"/>
      <c r="R38" s="423"/>
      <c r="S38" s="424" t="str">
        <f t="shared" si="21"/>
        <v/>
      </c>
      <c r="T38" s="427"/>
      <c r="U38" s="423"/>
      <c r="V38" s="418" t="str">
        <f t="shared" si="22"/>
        <v/>
      </c>
      <c r="W38" s="417"/>
      <c r="X38" s="423"/>
      <c r="Y38" s="418" t="str">
        <f t="shared" si="23"/>
        <v/>
      </c>
      <c r="Z38" s="422"/>
      <c r="AA38" s="59">
        <f t="shared" si="14"/>
        <v>1</v>
      </c>
      <c r="AB38" s="57">
        <f t="shared" si="24"/>
        <v>16</v>
      </c>
      <c r="AC38" s="374">
        <f t="shared" si="25"/>
        <v>16136.8</v>
      </c>
      <c r="AD38" s="58">
        <f t="shared" si="26"/>
        <v>136.80000000000001</v>
      </c>
      <c r="AE38" s="58">
        <f t="shared" si="27"/>
        <v>684</v>
      </c>
      <c r="AG38"/>
    </row>
    <row r="39" spans="1:33">
      <c r="A39" s="2" t="s">
        <v>19</v>
      </c>
      <c r="B39" s="131">
        <f t="shared" si="15"/>
        <v>36</v>
      </c>
      <c r="C39" s="308" t="s">
        <v>18</v>
      </c>
      <c r="D39" s="128">
        <f t="shared" si="16"/>
        <v>0</v>
      </c>
      <c r="E39" s="310" t="s">
        <v>0</v>
      </c>
      <c r="F39" s="423">
        <v>36</v>
      </c>
      <c r="G39" s="418">
        <f t="shared" si="17"/>
        <v>15</v>
      </c>
      <c r="H39" s="417">
        <v>681</v>
      </c>
      <c r="I39" s="430"/>
      <c r="J39" s="418" t="str">
        <f t="shared" si="18"/>
        <v/>
      </c>
      <c r="K39" s="431"/>
      <c r="L39" s="423"/>
      <c r="M39" s="418" t="str">
        <f t="shared" si="19"/>
        <v/>
      </c>
      <c r="N39" s="417"/>
      <c r="O39" s="423"/>
      <c r="P39" s="418" t="str">
        <f t="shared" si="20"/>
        <v/>
      </c>
      <c r="Q39" s="417"/>
      <c r="R39" s="423"/>
      <c r="S39" s="424" t="str">
        <f t="shared" si="21"/>
        <v/>
      </c>
      <c r="T39" s="427"/>
      <c r="U39" s="423"/>
      <c r="V39" s="418" t="str">
        <f t="shared" si="22"/>
        <v/>
      </c>
      <c r="W39" s="417"/>
      <c r="X39" s="423"/>
      <c r="Y39" s="418" t="str">
        <f t="shared" si="23"/>
        <v/>
      </c>
      <c r="Z39" s="422"/>
      <c r="AA39" s="59">
        <f t="shared" si="14"/>
        <v>1</v>
      </c>
      <c r="AB39" s="57">
        <f t="shared" si="24"/>
        <v>15</v>
      </c>
      <c r="AC39" s="57">
        <f t="shared" si="25"/>
        <v>15136.2</v>
      </c>
      <c r="AD39" s="58">
        <f t="shared" si="26"/>
        <v>136.19999999999999</v>
      </c>
      <c r="AE39" s="58">
        <f t="shared" si="27"/>
        <v>681</v>
      </c>
      <c r="AG39"/>
    </row>
    <row r="40" spans="1:33">
      <c r="A40" s="2"/>
      <c r="B40" s="131">
        <f t="shared" si="15"/>
        <v>37</v>
      </c>
      <c r="C40" s="303" t="s">
        <v>27</v>
      </c>
      <c r="D40" s="128">
        <f t="shared" si="16"/>
        <v>0</v>
      </c>
      <c r="E40" s="304" t="s">
        <v>3</v>
      </c>
      <c r="F40" s="423">
        <v>37</v>
      </c>
      <c r="G40" s="418">
        <f t="shared" si="17"/>
        <v>14</v>
      </c>
      <c r="H40" s="417">
        <v>681</v>
      </c>
      <c r="I40" s="430"/>
      <c r="J40" s="418" t="str">
        <f t="shared" si="18"/>
        <v/>
      </c>
      <c r="K40" s="431"/>
      <c r="L40" s="423"/>
      <c r="M40" s="418" t="str">
        <f t="shared" si="19"/>
        <v/>
      </c>
      <c r="N40" s="417"/>
      <c r="O40" s="423"/>
      <c r="P40" s="418" t="str">
        <f t="shared" si="20"/>
        <v/>
      </c>
      <c r="Q40" s="417"/>
      <c r="R40" s="423"/>
      <c r="S40" s="424" t="str">
        <f t="shared" si="21"/>
        <v/>
      </c>
      <c r="T40" s="427"/>
      <c r="U40" s="423"/>
      <c r="V40" s="418" t="str">
        <f t="shared" si="22"/>
        <v/>
      </c>
      <c r="W40" s="417"/>
      <c r="X40" s="423"/>
      <c r="Y40" s="418" t="str">
        <f t="shared" si="23"/>
        <v/>
      </c>
      <c r="Z40" s="422"/>
      <c r="AA40" s="59">
        <f t="shared" si="14"/>
        <v>1</v>
      </c>
      <c r="AB40" s="57">
        <f t="shared" si="24"/>
        <v>14</v>
      </c>
      <c r="AC40" s="57">
        <f t="shared" si="25"/>
        <v>14136.2</v>
      </c>
      <c r="AD40" s="58">
        <f t="shared" si="26"/>
        <v>136.19999999999999</v>
      </c>
      <c r="AE40" s="58">
        <f t="shared" si="27"/>
        <v>681</v>
      </c>
      <c r="AG40"/>
    </row>
    <row r="41" spans="1:33">
      <c r="A41" s="2"/>
      <c r="B41" s="131">
        <f t="shared" si="15"/>
        <v>38</v>
      </c>
      <c r="C41" s="126" t="s">
        <v>31</v>
      </c>
      <c r="D41" s="128">
        <f t="shared" si="16"/>
        <v>0</v>
      </c>
      <c r="E41" s="132" t="s">
        <v>16</v>
      </c>
      <c r="F41" s="423">
        <v>38</v>
      </c>
      <c r="G41" s="418">
        <f t="shared" si="17"/>
        <v>13</v>
      </c>
      <c r="H41" s="417">
        <v>679</v>
      </c>
      <c r="I41" s="430"/>
      <c r="J41" s="418" t="str">
        <f t="shared" si="18"/>
        <v/>
      </c>
      <c r="K41" s="431"/>
      <c r="L41" s="423"/>
      <c r="M41" s="418" t="str">
        <f t="shared" si="19"/>
        <v/>
      </c>
      <c r="N41" s="417"/>
      <c r="O41" s="423"/>
      <c r="P41" s="418" t="str">
        <f t="shared" si="20"/>
        <v/>
      </c>
      <c r="Q41" s="417"/>
      <c r="R41" s="423"/>
      <c r="S41" s="424" t="str">
        <f t="shared" si="21"/>
        <v/>
      </c>
      <c r="T41" s="427"/>
      <c r="U41" s="423"/>
      <c r="V41" s="418" t="str">
        <f t="shared" si="22"/>
        <v/>
      </c>
      <c r="W41" s="417"/>
      <c r="X41" s="423"/>
      <c r="Y41" s="418" t="str">
        <f t="shared" si="23"/>
        <v/>
      </c>
      <c r="Z41" s="422"/>
      <c r="AA41" s="59">
        <f t="shared" si="14"/>
        <v>1</v>
      </c>
      <c r="AB41" s="57">
        <f t="shared" si="24"/>
        <v>13</v>
      </c>
      <c r="AC41" s="57">
        <f t="shared" si="25"/>
        <v>13135.8</v>
      </c>
      <c r="AD41" s="58">
        <f t="shared" si="26"/>
        <v>135.80000000000001</v>
      </c>
      <c r="AE41" s="58">
        <f t="shared" si="27"/>
        <v>679</v>
      </c>
      <c r="AG41"/>
    </row>
    <row r="42" spans="1:33">
      <c r="A42" s="2"/>
      <c r="B42" s="131">
        <f t="shared" si="15"/>
        <v>39</v>
      </c>
      <c r="C42" s="731" t="s">
        <v>64</v>
      </c>
      <c r="D42" s="128">
        <f t="shared" si="16"/>
        <v>0</v>
      </c>
      <c r="E42" s="130" t="s">
        <v>6</v>
      </c>
      <c r="F42" s="423">
        <v>39</v>
      </c>
      <c r="G42" s="418">
        <f t="shared" si="17"/>
        <v>12</v>
      </c>
      <c r="H42" s="417">
        <v>675</v>
      </c>
      <c r="I42" s="430"/>
      <c r="J42" s="418" t="str">
        <f t="shared" si="18"/>
        <v/>
      </c>
      <c r="K42" s="431"/>
      <c r="L42" s="423"/>
      <c r="M42" s="418" t="str">
        <f t="shared" si="19"/>
        <v/>
      </c>
      <c r="N42" s="417"/>
      <c r="O42" s="423"/>
      <c r="P42" s="418" t="str">
        <f t="shared" si="20"/>
        <v/>
      </c>
      <c r="Q42" s="417"/>
      <c r="R42" s="423"/>
      <c r="S42" s="424" t="str">
        <f t="shared" si="21"/>
        <v/>
      </c>
      <c r="T42" s="427"/>
      <c r="U42" s="423"/>
      <c r="V42" s="418" t="str">
        <f t="shared" si="22"/>
        <v/>
      </c>
      <c r="W42" s="417"/>
      <c r="X42" s="423"/>
      <c r="Y42" s="418" t="str">
        <f t="shared" si="23"/>
        <v/>
      </c>
      <c r="Z42" s="422"/>
      <c r="AA42" s="59">
        <f t="shared" si="14"/>
        <v>1</v>
      </c>
      <c r="AB42" s="57">
        <f t="shared" si="24"/>
        <v>12</v>
      </c>
      <c r="AC42" s="57">
        <f t="shared" si="25"/>
        <v>12135</v>
      </c>
      <c r="AD42" s="58">
        <f t="shared" si="26"/>
        <v>135</v>
      </c>
      <c r="AE42" s="58">
        <f t="shared" si="27"/>
        <v>675</v>
      </c>
      <c r="AG42"/>
    </row>
    <row r="43" spans="1:33">
      <c r="A43" s="2"/>
      <c r="B43" s="131">
        <f t="shared" si="15"/>
        <v>40</v>
      </c>
      <c r="C43" s="308" t="s">
        <v>224</v>
      </c>
      <c r="D43" s="128">
        <f t="shared" si="16"/>
        <v>0</v>
      </c>
      <c r="E43" s="310" t="s">
        <v>0</v>
      </c>
      <c r="F43" s="423">
        <v>40</v>
      </c>
      <c r="G43" s="418">
        <f t="shared" si="17"/>
        <v>11</v>
      </c>
      <c r="H43" s="417">
        <v>668</v>
      </c>
      <c r="I43" s="430"/>
      <c r="J43" s="418" t="str">
        <f t="shared" si="18"/>
        <v/>
      </c>
      <c r="K43" s="431"/>
      <c r="L43" s="423"/>
      <c r="M43" s="418" t="str">
        <f t="shared" si="19"/>
        <v/>
      </c>
      <c r="N43" s="417"/>
      <c r="O43" s="423"/>
      <c r="P43" s="418" t="str">
        <f t="shared" si="20"/>
        <v/>
      </c>
      <c r="Q43" s="417"/>
      <c r="R43" s="423"/>
      <c r="S43" s="424" t="str">
        <f t="shared" si="21"/>
        <v/>
      </c>
      <c r="T43" s="427"/>
      <c r="U43" s="423"/>
      <c r="V43" s="418" t="str">
        <f t="shared" si="22"/>
        <v/>
      </c>
      <c r="W43" s="417"/>
      <c r="X43" s="423"/>
      <c r="Y43" s="418" t="str">
        <f t="shared" si="23"/>
        <v/>
      </c>
      <c r="Z43" s="422"/>
      <c r="AA43" s="57">
        <f t="shared" si="14"/>
        <v>1</v>
      </c>
      <c r="AB43" s="57">
        <f t="shared" si="24"/>
        <v>11</v>
      </c>
      <c r="AC43" s="57">
        <f t="shared" si="25"/>
        <v>11133.6</v>
      </c>
      <c r="AD43" s="58">
        <f t="shared" si="26"/>
        <v>133.6</v>
      </c>
      <c r="AE43" s="58">
        <f t="shared" si="27"/>
        <v>668</v>
      </c>
      <c r="AG43"/>
    </row>
    <row r="44" spans="1:33">
      <c r="A44" s="2"/>
      <c r="B44" s="131">
        <f t="shared" si="15"/>
        <v>41</v>
      </c>
      <c r="C44" s="126" t="s">
        <v>20</v>
      </c>
      <c r="D44" s="128">
        <f t="shared" si="16"/>
        <v>0</v>
      </c>
      <c r="E44" s="132" t="s">
        <v>16</v>
      </c>
      <c r="F44" s="423">
        <v>41</v>
      </c>
      <c r="G44" s="418">
        <f t="shared" si="17"/>
        <v>10</v>
      </c>
      <c r="H44" s="417">
        <v>667</v>
      </c>
      <c r="I44" s="430"/>
      <c r="J44" s="418" t="str">
        <f t="shared" si="18"/>
        <v/>
      </c>
      <c r="K44" s="431"/>
      <c r="L44" s="423"/>
      <c r="M44" s="418" t="str">
        <f t="shared" si="19"/>
        <v/>
      </c>
      <c r="N44" s="417"/>
      <c r="O44" s="423"/>
      <c r="P44" s="418" t="str">
        <f t="shared" si="20"/>
        <v/>
      </c>
      <c r="Q44" s="417"/>
      <c r="R44" s="423"/>
      <c r="S44" s="424" t="str">
        <f t="shared" si="21"/>
        <v/>
      </c>
      <c r="T44" s="427"/>
      <c r="U44" s="423"/>
      <c r="V44" s="418" t="str">
        <f t="shared" si="22"/>
        <v/>
      </c>
      <c r="W44" s="417"/>
      <c r="X44" s="423"/>
      <c r="Y44" s="418" t="str">
        <f t="shared" si="23"/>
        <v/>
      </c>
      <c r="Z44" s="422"/>
      <c r="AA44" s="59">
        <f t="shared" si="14"/>
        <v>1</v>
      </c>
      <c r="AB44" s="57">
        <f t="shared" si="24"/>
        <v>10</v>
      </c>
      <c r="AC44" s="57">
        <f t="shared" si="25"/>
        <v>10133.4</v>
      </c>
      <c r="AD44" s="58">
        <f t="shared" si="26"/>
        <v>133.4</v>
      </c>
      <c r="AE44" s="58">
        <f t="shared" si="27"/>
        <v>667</v>
      </c>
      <c r="AG44"/>
    </row>
    <row r="45" spans="1:33">
      <c r="A45" s="2"/>
      <c r="B45" s="131">
        <f t="shared" si="15"/>
        <v>42</v>
      </c>
      <c r="C45" s="308" t="s">
        <v>34</v>
      </c>
      <c r="D45" s="128">
        <f t="shared" si="16"/>
        <v>0</v>
      </c>
      <c r="E45" s="310" t="s">
        <v>0</v>
      </c>
      <c r="F45" s="423">
        <v>42</v>
      </c>
      <c r="G45" s="418">
        <f t="shared" si="17"/>
        <v>9</v>
      </c>
      <c r="H45" s="417">
        <v>654</v>
      </c>
      <c r="I45" s="430"/>
      <c r="J45" s="418" t="str">
        <f t="shared" si="18"/>
        <v/>
      </c>
      <c r="K45" s="431"/>
      <c r="L45" s="423"/>
      <c r="M45" s="418" t="str">
        <f t="shared" si="19"/>
        <v/>
      </c>
      <c r="N45" s="417"/>
      <c r="O45" s="423"/>
      <c r="P45" s="418" t="str">
        <f t="shared" si="20"/>
        <v/>
      </c>
      <c r="Q45" s="417"/>
      <c r="R45" s="423"/>
      <c r="S45" s="424" t="str">
        <f t="shared" si="21"/>
        <v/>
      </c>
      <c r="T45" s="427"/>
      <c r="U45" s="423"/>
      <c r="V45" s="418" t="str">
        <f t="shared" si="22"/>
        <v/>
      </c>
      <c r="W45" s="417"/>
      <c r="X45" s="423"/>
      <c r="Y45" s="418" t="str">
        <f t="shared" si="23"/>
        <v/>
      </c>
      <c r="Z45" s="422"/>
      <c r="AA45" s="59">
        <f t="shared" si="14"/>
        <v>1</v>
      </c>
      <c r="AB45" s="57">
        <f t="shared" si="24"/>
        <v>9</v>
      </c>
      <c r="AC45" s="57">
        <f t="shared" si="25"/>
        <v>9130.7999999999993</v>
      </c>
      <c r="AD45" s="58">
        <f t="shared" si="26"/>
        <v>130.80000000000001</v>
      </c>
      <c r="AE45" s="58">
        <f t="shared" si="27"/>
        <v>654</v>
      </c>
      <c r="AG45"/>
    </row>
    <row r="46" spans="1:33">
      <c r="A46" s="2"/>
      <c r="B46" s="131">
        <f t="shared" si="15"/>
        <v>43</v>
      </c>
      <c r="C46" s="309" t="s">
        <v>75</v>
      </c>
      <c r="D46" s="128">
        <f t="shared" si="16"/>
        <v>0</v>
      </c>
      <c r="E46" s="310" t="s">
        <v>0</v>
      </c>
      <c r="F46" s="423">
        <v>43</v>
      </c>
      <c r="G46" s="418">
        <f t="shared" si="17"/>
        <v>8</v>
      </c>
      <c r="H46" s="417">
        <v>653</v>
      </c>
      <c r="I46" s="430"/>
      <c r="J46" s="418" t="str">
        <f t="shared" si="18"/>
        <v/>
      </c>
      <c r="K46" s="431"/>
      <c r="L46" s="423"/>
      <c r="M46" s="418" t="str">
        <f t="shared" si="19"/>
        <v/>
      </c>
      <c r="N46" s="417"/>
      <c r="O46" s="423"/>
      <c r="P46" s="418" t="str">
        <f t="shared" si="20"/>
        <v/>
      </c>
      <c r="Q46" s="417"/>
      <c r="R46" s="423"/>
      <c r="S46" s="424" t="str">
        <f t="shared" si="21"/>
        <v/>
      </c>
      <c r="T46" s="427"/>
      <c r="U46" s="423"/>
      <c r="V46" s="418" t="str">
        <f t="shared" si="22"/>
        <v/>
      </c>
      <c r="W46" s="417"/>
      <c r="X46" s="423"/>
      <c r="Y46" s="418" t="str">
        <f t="shared" si="23"/>
        <v/>
      </c>
      <c r="Z46" s="422"/>
      <c r="AA46" s="59">
        <f t="shared" ref="AA46:AA77" si="28">COUNT(X46,U46,R46,O46,L46,I46,F46)</f>
        <v>1</v>
      </c>
      <c r="AB46" s="57">
        <f t="shared" si="24"/>
        <v>8</v>
      </c>
      <c r="AC46" s="57">
        <f t="shared" si="25"/>
        <v>8130.6</v>
      </c>
      <c r="AD46" s="58">
        <f t="shared" si="26"/>
        <v>130.6</v>
      </c>
      <c r="AE46" s="58">
        <f t="shared" si="27"/>
        <v>653</v>
      </c>
      <c r="AG46"/>
    </row>
    <row r="47" spans="1:33">
      <c r="A47" s="2"/>
      <c r="B47" s="131">
        <f t="shared" si="15"/>
        <v>44</v>
      </c>
      <c r="C47" s="301" t="s">
        <v>96</v>
      </c>
      <c r="D47" s="128">
        <f t="shared" si="16"/>
        <v>0</v>
      </c>
      <c r="E47" s="737" t="s">
        <v>5</v>
      </c>
      <c r="F47" s="430">
        <v>44</v>
      </c>
      <c r="G47" s="418">
        <f t="shared" si="17"/>
        <v>7</v>
      </c>
      <c r="H47" s="431">
        <v>651</v>
      </c>
      <c r="I47" s="430"/>
      <c r="J47" s="418" t="str">
        <f t="shared" si="18"/>
        <v/>
      </c>
      <c r="K47" s="431"/>
      <c r="L47" s="423"/>
      <c r="M47" s="418" t="str">
        <f t="shared" si="19"/>
        <v/>
      </c>
      <c r="N47" s="417"/>
      <c r="O47" s="423"/>
      <c r="P47" s="418" t="str">
        <f t="shared" si="20"/>
        <v/>
      </c>
      <c r="Q47" s="417"/>
      <c r="R47" s="423"/>
      <c r="S47" s="424" t="str">
        <f t="shared" si="21"/>
        <v/>
      </c>
      <c r="T47" s="427"/>
      <c r="U47" s="423"/>
      <c r="V47" s="418" t="str">
        <f t="shared" si="22"/>
        <v/>
      </c>
      <c r="W47" s="417"/>
      <c r="X47" s="423"/>
      <c r="Y47" s="418" t="str">
        <f t="shared" si="23"/>
        <v/>
      </c>
      <c r="Z47" s="422"/>
      <c r="AA47" s="59">
        <f t="shared" si="28"/>
        <v>1</v>
      </c>
      <c r="AB47" s="57">
        <f t="shared" si="24"/>
        <v>7</v>
      </c>
      <c r="AC47" s="373">
        <f t="shared" si="25"/>
        <v>7130.2</v>
      </c>
      <c r="AD47" s="58">
        <f t="shared" si="26"/>
        <v>130.19999999999999</v>
      </c>
      <c r="AE47" s="58">
        <f t="shared" si="27"/>
        <v>651</v>
      </c>
      <c r="AG47"/>
    </row>
    <row r="48" spans="1:33">
      <c r="A48" s="2"/>
      <c r="B48" s="131">
        <f t="shared" si="15"/>
        <v>45</v>
      </c>
      <c r="C48" s="126" t="s">
        <v>116</v>
      </c>
      <c r="D48" s="128">
        <f t="shared" si="16"/>
        <v>0</v>
      </c>
      <c r="E48" s="132" t="s">
        <v>16</v>
      </c>
      <c r="F48" s="430">
        <v>45</v>
      </c>
      <c r="G48" s="418">
        <f t="shared" si="17"/>
        <v>6</v>
      </c>
      <c r="H48" s="431">
        <v>622</v>
      </c>
      <c r="I48" s="430"/>
      <c r="J48" s="418" t="str">
        <f t="shared" si="18"/>
        <v/>
      </c>
      <c r="K48" s="431"/>
      <c r="L48" s="423"/>
      <c r="M48" s="418" t="str">
        <f t="shared" si="19"/>
        <v/>
      </c>
      <c r="N48" s="431"/>
      <c r="O48" s="423"/>
      <c r="P48" s="418" t="str">
        <f t="shared" si="20"/>
        <v/>
      </c>
      <c r="Q48" s="417"/>
      <c r="R48" s="423"/>
      <c r="S48" s="424" t="str">
        <f t="shared" si="21"/>
        <v/>
      </c>
      <c r="T48" s="427"/>
      <c r="U48" s="423"/>
      <c r="V48" s="418" t="str">
        <f t="shared" si="22"/>
        <v/>
      </c>
      <c r="W48" s="417"/>
      <c r="X48" s="423"/>
      <c r="Y48" s="418" t="str">
        <f t="shared" si="23"/>
        <v/>
      </c>
      <c r="Z48" s="422"/>
      <c r="AA48" s="59">
        <f t="shared" si="28"/>
        <v>1</v>
      </c>
      <c r="AB48" s="57">
        <f t="shared" si="24"/>
        <v>6</v>
      </c>
      <c r="AC48" s="374">
        <f t="shared" si="25"/>
        <v>6124.4</v>
      </c>
      <c r="AD48" s="58">
        <f t="shared" si="26"/>
        <v>124.4</v>
      </c>
      <c r="AE48" s="58">
        <f t="shared" si="27"/>
        <v>622</v>
      </c>
      <c r="AG48"/>
    </row>
    <row r="49" spans="1:33">
      <c r="A49" s="2"/>
      <c r="B49" s="131">
        <f t="shared" si="15"/>
        <v>46</v>
      </c>
      <c r="C49" s="308" t="s">
        <v>7</v>
      </c>
      <c r="D49" s="128">
        <f t="shared" si="16"/>
        <v>0</v>
      </c>
      <c r="E49" s="376" t="s">
        <v>0</v>
      </c>
      <c r="F49" s="430">
        <v>46</v>
      </c>
      <c r="G49" s="418">
        <f t="shared" si="17"/>
        <v>5</v>
      </c>
      <c r="H49" s="431">
        <v>621</v>
      </c>
      <c r="I49" s="430"/>
      <c r="J49" s="418" t="str">
        <f t="shared" si="18"/>
        <v/>
      </c>
      <c r="K49" s="431"/>
      <c r="L49" s="430"/>
      <c r="M49" s="418" t="str">
        <f t="shared" si="19"/>
        <v/>
      </c>
      <c r="N49" s="431"/>
      <c r="O49" s="430"/>
      <c r="P49" s="418" t="str">
        <f t="shared" si="20"/>
        <v/>
      </c>
      <c r="Q49" s="431"/>
      <c r="R49" s="430"/>
      <c r="S49" s="424" t="str">
        <f t="shared" si="21"/>
        <v/>
      </c>
      <c r="T49" s="433"/>
      <c r="U49" s="423"/>
      <c r="V49" s="418" t="str">
        <f t="shared" si="22"/>
        <v/>
      </c>
      <c r="W49" s="417"/>
      <c r="X49" s="423"/>
      <c r="Y49" s="418" t="str">
        <f t="shared" si="23"/>
        <v/>
      </c>
      <c r="Z49" s="422"/>
      <c r="AA49" s="57">
        <f t="shared" si="28"/>
        <v>1</v>
      </c>
      <c r="AB49" s="57">
        <f t="shared" si="24"/>
        <v>5</v>
      </c>
      <c r="AC49" s="57">
        <f t="shared" si="25"/>
        <v>5124.2</v>
      </c>
      <c r="AD49" s="58">
        <f t="shared" si="26"/>
        <v>124.2</v>
      </c>
      <c r="AE49" s="58">
        <f t="shared" si="27"/>
        <v>621</v>
      </c>
      <c r="AG49"/>
    </row>
    <row r="50" spans="1:33">
      <c r="A50" s="2"/>
      <c r="B50" s="131">
        <f t="shared" si="15"/>
        <v>47</v>
      </c>
      <c r="C50" s="136" t="s">
        <v>72</v>
      </c>
      <c r="D50" s="128">
        <f t="shared" si="16"/>
        <v>0</v>
      </c>
      <c r="E50" s="135" t="s">
        <v>16</v>
      </c>
      <c r="F50" s="430">
        <v>47</v>
      </c>
      <c r="G50" s="418">
        <f t="shared" si="17"/>
        <v>4</v>
      </c>
      <c r="H50" s="431">
        <v>606</v>
      </c>
      <c r="I50" s="430"/>
      <c r="J50" s="418" t="str">
        <f t="shared" si="18"/>
        <v/>
      </c>
      <c r="K50" s="431"/>
      <c r="L50" s="430"/>
      <c r="M50" s="418" t="str">
        <f t="shared" si="19"/>
        <v/>
      </c>
      <c r="N50" s="431"/>
      <c r="O50" s="430"/>
      <c r="P50" s="418" t="str">
        <f t="shared" si="20"/>
        <v/>
      </c>
      <c r="Q50" s="431"/>
      <c r="R50" s="430"/>
      <c r="S50" s="424" t="str">
        <f t="shared" si="21"/>
        <v/>
      </c>
      <c r="T50" s="433"/>
      <c r="U50" s="423"/>
      <c r="V50" s="418" t="str">
        <f t="shared" si="22"/>
        <v/>
      </c>
      <c r="W50" s="417"/>
      <c r="X50" s="423"/>
      <c r="Y50" s="418" t="str">
        <f t="shared" si="23"/>
        <v/>
      </c>
      <c r="Z50" s="422"/>
      <c r="AA50" s="57">
        <f t="shared" si="28"/>
        <v>1</v>
      </c>
      <c r="AB50" s="57">
        <f t="shared" si="24"/>
        <v>4</v>
      </c>
      <c r="AC50" s="57">
        <f t="shared" si="25"/>
        <v>4121.2</v>
      </c>
      <c r="AD50" s="58">
        <f t="shared" si="26"/>
        <v>121.2</v>
      </c>
      <c r="AE50" s="58">
        <f t="shared" si="27"/>
        <v>606</v>
      </c>
      <c r="AG50"/>
    </row>
    <row r="51" spans="1:33">
      <c r="B51" s="131">
        <f t="shared" si="15"/>
        <v>48</v>
      </c>
      <c r="C51" s="126" t="s">
        <v>15</v>
      </c>
      <c r="D51" s="128">
        <f t="shared" si="16"/>
        <v>0</v>
      </c>
      <c r="E51" s="135" t="s">
        <v>16</v>
      </c>
      <c r="F51" s="423">
        <v>48</v>
      </c>
      <c r="G51" s="418">
        <f t="shared" si="17"/>
        <v>3</v>
      </c>
      <c r="H51" s="417">
        <v>606</v>
      </c>
      <c r="I51" s="423"/>
      <c r="J51" s="418" t="str">
        <f t="shared" si="18"/>
        <v/>
      </c>
      <c r="K51" s="431"/>
      <c r="L51" s="430"/>
      <c r="M51" s="418" t="str">
        <f t="shared" si="19"/>
        <v/>
      </c>
      <c r="N51" s="431"/>
      <c r="O51" s="423"/>
      <c r="P51" s="418" t="str">
        <f t="shared" si="20"/>
        <v/>
      </c>
      <c r="Q51" s="426"/>
      <c r="R51" s="430"/>
      <c r="S51" s="424" t="str">
        <f t="shared" si="21"/>
        <v/>
      </c>
      <c r="T51" s="433"/>
      <c r="U51" s="430"/>
      <c r="V51" s="418" t="str">
        <f t="shared" si="22"/>
        <v/>
      </c>
      <c r="W51" s="431"/>
      <c r="X51" s="423"/>
      <c r="Y51" s="418" t="str">
        <f t="shared" si="23"/>
        <v/>
      </c>
      <c r="Z51" s="422"/>
      <c r="AA51" s="59">
        <f t="shared" si="28"/>
        <v>1</v>
      </c>
      <c r="AB51" s="57">
        <f t="shared" si="24"/>
        <v>3</v>
      </c>
      <c r="AC51" s="373">
        <f t="shared" si="25"/>
        <v>3121.2</v>
      </c>
      <c r="AD51" s="58">
        <f t="shared" si="26"/>
        <v>121.2</v>
      </c>
      <c r="AE51" s="58">
        <f t="shared" si="27"/>
        <v>606</v>
      </c>
      <c r="AG51"/>
    </row>
    <row r="52" spans="1:33">
      <c r="B52" s="131">
        <f t="shared" si="15"/>
        <v>49</v>
      </c>
      <c r="C52" s="308" t="s">
        <v>45</v>
      </c>
      <c r="D52" s="128">
        <f t="shared" si="16"/>
        <v>0</v>
      </c>
      <c r="E52" s="376" t="s">
        <v>0</v>
      </c>
      <c r="F52" s="423">
        <v>49</v>
      </c>
      <c r="G52" s="418">
        <f t="shared" si="17"/>
        <v>2</v>
      </c>
      <c r="H52" s="417">
        <v>603</v>
      </c>
      <c r="I52" s="423"/>
      <c r="J52" s="418" t="str">
        <f t="shared" si="18"/>
        <v/>
      </c>
      <c r="K52" s="417"/>
      <c r="L52" s="430"/>
      <c r="M52" s="418" t="str">
        <f t="shared" si="19"/>
        <v/>
      </c>
      <c r="N52" s="431"/>
      <c r="O52" s="423"/>
      <c r="P52" s="418" t="str">
        <f t="shared" si="20"/>
        <v/>
      </c>
      <c r="Q52" s="426"/>
      <c r="R52" s="430"/>
      <c r="S52" s="424" t="str">
        <f t="shared" si="21"/>
        <v/>
      </c>
      <c r="T52" s="433"/>
      <c r="U52" s="430"/>
      <c r="V52" s="418" t="str">
        <f t="shared" si="22"/>
        <v/>
      </c>
      <c r="W52" s="431"/>
      <c r="X52" s="430"/>
      <c r="Y52" s="418" t="str">
        <f t="shared" si="23"/>
        <v/>
      </c>
      <c r="Z52" s="453"/>
      <c r="AA52" s="59">
        <f t="shared" si="28"/>
        <v>1</v>
      </c>
      <c r="AB52" s="57">
        <f t="shared" si="24"/>
        <v>2</v>
      </c>
      <c r="AC52" s="57">
        <f t="shared" si="25"/>
        <v>2120.6</v>
      </c>
      <c r="AD52" s="58">
        <f t="shared" si="26"/>
        <v>120.6</v>
      </c>
      <c r="AE52" s="58">
        <f t="shared" si="27"/>
        <v>603</v>
      </c>
      <c r="AG52"/>
    </row>
    <row r="53" spans="1:33">
      <c r="B53" s="131">
        <f t="shared" si="15"/>
        <v>50</v>
      </c>
      <c r="C53" s="305" t="s">
        <v>219</v>
      </c>
      <c r="D53" s="128">
        <f t="shared" si="16"/>
        <v>0</v>
      </c>
      <c r="E53" s="307" t="s">
        <v>3</v>
      </c>
      <c r="F53" s="423">
        <v>50</v>
      </c>
      <c r="G53" s="418">
        <f t="shared" si="17"/>
        <v>1</v>
      </c>
      <c r="H53" s="417">
        <v>587</v>
      </c>
      <c r="I53" s="423"/>
      <c r="J53" s="418" t="str">
        <f t="shared" si="18"/>
        <v/>
      </c>
      <c r="K53" s="431"/>
      <c r="L53" s="423"/>
      <c r="M53" s="418" t="str">
        <f t="shared" si="19"/>
        <v/>
      </c>
      <c r="N53" s="427"/>
      <c r="O53" s="423"/>
      <c r="P53" s="418"/>
      <c r="Q53" s="426"/>
      <c r="R53" s="423"/>
      <c r="S53" s="424" t="str">
        <f t="shared" si="21"/>
        <v/>
      </c>
      <c r="T53" s="419"/>
      <c r="U53" s="423"/>
      <c r="V53" s="418" t="str">
        <f t="shared" si="22"/>
        <v/>
      </c>
      <c r="W53" s="417"/>
      <c r="X53" s="430"/>
      <c r="Y53" s="418" t="str">
        <f t="shared" si="23"/>
        <v/>
      </c>
      <c r="Z53" s="431"/>
      <c r="AA53" s="57">
        <f t="shared" si="28"/>
        <v>1</v>
      </c>
      <c r="AB53" s="57">
        <f t="shared" si="24"/>
        <v>1</v>
      </c>
      <c r="AC53" s="374">
        <f t="shared" si="25"/>
        <v>1117.4000000000001</v>
      </c>
      <c r="AD53" s="58">
        <f t="shared" si="26"/>
        <v>117.4</v>
      </c>
      <c r="AE53" s="58">
        <f t="shared" si="27"/>
        <v>587</v>
      </c>
      <c r="AG53"/>
    </row>
    <row r="54" spans="1:33">
      <c r="B54" s="131">
        <f t="shared" si="15"/>
        <v>51</v>
      </c>
      <c r="C54" s="133" t="s">
        <v>100</v>
      </c>
      <c r="D54" s="128">
        <f t="shared" si="16"/>
        <v>0</v>
      </c>
      <c r="E54" s="134" t="s">
        <v>6</v>
      </c>
      <c r="F54" s="423">
        <v>51</v>
      </c>
      <c r="G54" s="418" t="str">
        <f t="shared" si="17"/>
        <v/>
      </c>
      <c r="H54" s="417">
        <v>585</v>
      </c>
      <c r="I54" s="423"/>
      <c r="J54" s="418" t="str">
        <f t="shared" si="18"/>
        <v/>
      </c>
      <c r="K54" s="431"/>
      <c r="L54" s="423"/>
      <c r="M54" s="418" t="str">
        <f t="shared" si="19"/>
        <v/>
      </c>
      <c r="N54" s="427"/>
      <c r="O54" s="423"/>
      <c r="P54" s="418" t="str">
        <f t="shared" ref="P54:P60" si="29">IF(O54="","",IF(O54&gt;50,"",51-O54))</f>
        <v/>
      </c>
      <c r="Q54" s="426"/>
      <c r="R54" s="423"/>
      <c r="S54" s="424" t="str">
        <f t="shared" si="21"/>
        <v/>
      </c>
      <c r="T54" s="419"/>
      <c r="U54" s="423"/>
      <c r="V54" s="418" t="str">
        <f t="shared" si="22"/>
        <v/>
      </c>
      <c r="W54" s="417"/>
      <c r="X54" s="430"/>
      <c r="Y54" s="418" t="str">
        <f t="shared" si="23"/>
        <v/>
      </c>
      <c r="Z54" s="431"/>
      <c r="AA54" s="59">
        <f t="shared" si="28"/>
        <v>1</v>
      </c>
      <c r="AB54" s="57">
        <f t="shared" si="24"/>
        <v>0</v>
      </c>
      <c r="AC54" s="57" t="str">
        <f t="shared" si="25"/>
        <v/>
      </c>
      <c r="AD54" s="58">
        <f t="shared" si="26"/>
        <v>117</v>
      </c>
      <c r="AE54" s="58">
        <f t="shared" si="27"/>
        <v>585</v>
      </c>
      <c r="AG54"/>
    </row>
    <row r="55" spans="1:33">
      <c r="B55" s="131">
        <f t="shared" si="15"/>
        <v>52</v>
      </c>
      <c r="C55" s="303" t="s">
        <v>29</v>
      </c>
      <c r="D55" s="128">
        <f t="shared" si="16"/>
        <v>0</v>
      </c>
      <c r="E55" s="307" t="s">
        <v>3</v>
      </c>
      <c r="F55" s="423">
        <v>52</v>
      </c>
      <c r="G55" s="418" t="str">
        <f t="shared" si="17"/>
        <v/>
      </c>
      <c r="H55" s="417">
        <v>575</v>
      </c>
      <c r="I55" s="423"/>
      <c r="J55" s="418" t="str">
        <f t="shared" si="18"/>
        <v/>
      </c>
      <c r="K55" s="431"/>
      <c r="L55" s="423"/>
      <c r="M55" s="418" t="str">
        <f t="shared" si="19"/>
        <v/>
      </c>
      <c r="N55" s="427"/>
      <c r="O55" s="423"/>
      <c r="P55" s="418" t="str">
        <f t="shared" si="29"/>
        <v/>
      </c>
      <c r="Q55" s="426"/>
      <c r="R55" s="423"/>
      <c r="S55" s="424" t="str">
        <f t="shared" si="21"/>
        <v/>
      </c>
      <c r="T55" s="419"/>
      <c r="U55" s="423"/>
      <c r="V55" s="418" t="str">
        <f t="shared" si="22"/>
        <v/>
      </c>
      <c r="W55" s="417"/>
      <c r="X55" s="423"/>
      <c r="Y55" s="418" t="str">
        <f t="shared" si="23"/>
        <v/>
      </c>
      <c r="Z55" s="417"/>
      <c r="AA55" s="59">
        <f t="shared" si="28"/>
        <v>1</v>
      </c>
      <c r="AB55" s="57">
        <f t="shared" si="24"/>
        <v>0</v>
      </c>
      <c r="AC55" s="57" t="str">
        <f t="shared" si="25"/>
        <v/>
      </c>
      <c r="AD55" s="58">
        <f t="shared" si="26"/>
        <v>115</v>
      </c>
      <c r="AE55" s="58">
        <f t="shared" si="27"/>
        <v>575</v>
      </c>
      <c r="AG55"/>
    </row>
    <row r="56" spans="1:33">
      <c r="B56" s="131">
        <f t="shared" si="15"/>
        <v>53</v>
      </c>
      <c r="C56" s="129" t="s">
        <v>13</v>
      </c>
      <c r="D56" s="128">
        <f t="shared" si="16"/>
        <v>0</v>
      </c>
      <c r="E56" s="134" t="s">
        <v>6</v>
      </c>
      <c r="F56" s="423">
        <v>53</v>
      </c>
      <c r="G56" s="418" t="str">
        <f t="shared" si="17"/>
        <v/>
      </c>
      <c r="H56" s="417">
        <v>530</v>
      </c>
      <c r="I56" s="423"/>
      <c r="J56" s="418" t="str">
        <f t="shared" si="18"/>
        <v/>
      </c>
      <c r="K56" s="431"/>
      <c r="L56" s="423"/>
      <c r="M56" s="418" t="str">
        <f t="shared" si="19"/>
        <v/>
      </c>
      <c r="N56" s="427"/>
      <c r="O56" s="423"/>
      <c r="P56" s="418" t="str">
        <f t="shared" si="29"/>
        <v/>
      </c>
      <c r="Q56" s="426"/>
      <c r="R56" s="423"/>
      <c r="S56" s="424" t="str">
        <f t="shared" si="21"/>
        <v/>
      </c>
      <c r="T56" s="419"/>
      <c r="U56" s="423"/>
      <c r="V56" s="418" t="str">
        <f t="shared" si="22"/>
        <v/>
      </c>
      <c r="W56" s="417"/>
      <c r="X56" s="430"/>
      <c r="Y56" s="418" t="str">
        <f t="shared" si="23"/>
        <v/>
      </c>
      <c r="Z56" s="431"/>
      <c r="AA56" s="59">
        <f t="shared" si="28"/>
        <v>1</v>
      </c>
      <c r="AB56" s="57">
        <f t="shared" si="24"/>
        <v>0</v>
      </c>
      <c r="AC56" s="373" t="str">
        <f t="shared" si="25"/>
        <v/>
      </c>
      <c r="AD56" s="58">
        <f t="shared" si="26"/>
        <v>106</v>
      </c>
      <c r="AE56" s="58">
        <f t="shared" si="27"/>
        <v>530</v>
      </c>
      <c r="AG56"/>
    </row>
    <row r="57" spans="1:33">
      <c r="B57" s="131">
        <f t="shared" si="15"/>
        <v>54</v>
      </c>
      <c r="C57" s="303" t="s">
        <v>170</v>
      </c>
      <c r="D57" s="128">
        <f t="shared" si="16"/>
        <v>0</v>
      </c>
      <c r="E57" s="307" t="s">
        <v>3</v>
      </c>
      <c r="F57" s="423">
        <v>54</v>
      </c>
      <c r="G57" s="418" t="str">
        <f t="shared" si="17"/>
        <v/>
      </c>
      <c r="H57" s="417">
        <v>492</v>
      </c>
      <c r="I57" s="423"/>
      <c r="J57" s="418" t="str">
        <f t="shared" si="18"/>
        <v/>
      </c>
      <c r="K57" s="431"/>
      <c r="L57" s="423"/>
      <c r="M57" s="418" t="str">
        <f t="shared" si="19"/>
        <v/>
      </c>
      <c r="N57" s="427"/>
      <c r="O57" s="423"/>
      <c r="P57" s="418" t="str">
        <f t="shared" si="29"/>
        <v/>
      </c>
      <c r="Q57" s="426"/>
      <c r="R57" s="423"/>
      <c r="S57" s="418" t="str">
        <f t="shared" si="21"/>
        <v/>
      </c>
      <c r="T57" s="419"/>
      <c r="U57" s="423"/>
      <c r="V57" s="418" t="str">
        <f t="shared" si="22"/>
        <v/>
      </c>
      <c r="W57" s="417"/>
      <c r="X57" s="430"/>
      <c r="Y57" s="418" t="str">
        <f t="shared" si="23"/>
        <v/>
      </c>
      <c r="Z57" s="431"/>
      <c r="AA57" s="59">
        <f t="shared" si="28"/>
        <v>1</v>
      </c>
      <c r="AB57" s="57">
        <f t="shared" si="24"/>
        <v>0</v>
      </c>
      <c r="AC57" s="57" t="str">
        <f t="shared" si="25"/>
        <v/>
      </c>
      <c r="AD57" s="58">
        <f t="shared" si="26"/>
        <v>98.4</v>
      </c>
      <c r="AE57" s="58">
        <f t="shared" si="27"/>
        <v>492</v>
      </c>
      <c r="AG57"/>
    </row>
    <row r="58" spans="1:33">
      <c r="B58" s="131">
        <f t="shared" si="15"/>
        <v>55</v>
      </c>
      <c r="C58" s="344" t="s">
        <v>223</v>
      </c>
      <c r="D58" s="128">
        <f t="shared" si="16"/>
        <v>0</v>
      </c>
      <c r="E58" s="134" t="s">
        <v>6</v>
      </c>
      <c r="F58" s="423">
        <v>55</v>
      </c>
      <c r="G58" s="418" t="str">
        <f t="shared" si="17"/>
        <v/>
      </c>
      <c r="H58" s="417">
        <v>433</v>
      </c>
      <c r="I58" s="423"/>
      <c r="J58" s="418" t="str">
        <f t="shared" si="18"/>
        <v/>
      </c>
      <c r="K58" s="417"/>
      <c r="L58" s="423"/>
      <c r="M58" s="418" t="str">
        <f t="shared" si="19"/>
        <v/>
      </c>
      <c r="N58" s="427"/>
      <c r="O58" s="423"/>
      <c r="P58" s="418" t="str">
        <f t="shared" si="29"/>
        <v/>
      </c>
      <c r="Q58" s="426"/>
      <c r="R58" s="423"/>
      <c r="S58" s="418" t="str">
        <f t="shared" si="21"/>
        <v/>
      </c>
      <c r="T58" s="419"/>
      <c r="U58" s="423"/>
      <c r="V58" s="418" t="str">
        <f t="shared" si="22"/>
        <v/>
      </c>
      <c r="W58" s="417"/>
      <c r="X58" s="423"/>
      <c r="Y58" s="418" t="str">
        <f t="shared" si="23"/>
        <v/>
      </c>
      <c r="Z58" s="417"/>
      <c r="AA58" s="57">
        <f t="shared" si="28"/>
        <v>1</v>
      </c>
      <c r="AB58" s="57">
        <f t="shared" si="24"/>
        <v>0</v>
      </c>
      <c r="AC58" s="57" t="str">
        <f t="shared" si="25"/>
        <v/>
      </c>
      <c r="AD58" s="58">
        <f t="shared" si="26"/>
        <v>86.6</v>
      </c>
      <c r="AE58" s="58">
        <f t="shared" si="27"/>
        <v>433</v>
      </c>
      <c r="AG58"/>
    </row>
    <row r="59" spans="1:33">
      <c r="B59" s="131">
        <f t="shared" si="15"/>
        <v>56</v>
      </c>
      <c r="C59" s="126" t="s">
        <v>89</v>
      </c>
      <c r="D59" s="128">
        <f t="shared" si="16"/>
        <v>0</v>
      </c>
      <c r="E59" s="135" t="s">
        <v>16</v>
      </c>
      <c r="F59" s="423"/>
      <c r="G59" s="418" t="str">
        <f t="shared" si="17"/>
        <v/>
      </c>
      <c r="H59" s="417"/>
      <c r="I59" s="423"/>
      <c r="J59" s="418" t="str">
        <f t="shared" si="18"/>
        <v/>
      </c>
      <c r="K59" s="417"/>
      <c r="L59" s="423"/>
      <c r="M59" s="418" t="str">
        <f t="shared" si="19"/>
        <v/>
      </c>
      <c r="N59" s="427"/>
      <c r="O59" s="423"/>
      <c r="P59" s="418" t="str">
        <f t="shared" si="29"/>
        <v/>
      </c>
      <c r="Q59" s="426"/>
      <c r="R59" s="423"/>
      <c r="S59" s="418" t="str">
        <f t="shared" si="21"/>
        <v/>
      </c>
      <c r="T59" s="419"/>
      <c r="U59" s="423"/>
      <c r="V59" s="418" t="str">
        <f t="shared" si="22"/>
        <v/>
      </c>
      <c r="W59" s="417"/>
      <c r="X59" s="423"/>
      <c r="Y59" s="418" t="str">
        <f t="shared" si="23"/>
        <v/>
      </c>
      <c r="Z59" s="417"/>
      <c r="AA59" s="57">
        <f t="shared" si="28"/>
        <v>0</v>
      </c>
      <c r="AB59" s="57">
        <f t="shared" si="24"/>
        <v>0</v>
      </c>
      <c r="AC59" s="57" t="str">
        <f t="shared" si="25"/>
        <v/>
      </c>
      <c r="AD59" s="58"/>
      <c r="AE59" s="58"/>
      <c r="AG59"/>
    </row>
    <row r="60" spans="1:33">
      <c r="B60" s="131">
        <f t="shared" si="15"/>
        <v>57</v>
      </c>
      <c r="C60" s="730" t="s">
        <v>113</v>
      </c>
      <c r="D60" s="128">
        <f t="shared" si="16"/>
        <v>0</v>
      </c>
      <c r="E60" s="135" t="s">
        <v>16</v>
      </c>
      <c r="F60" s="423"/>
      <c r="G60" s="418" t="str">
        <f t="shared" si="17"/>
        <v/>
      </c>
      <c r="H60" s="417"/>
      <c r="I60" s="423"/>
      <c r="J60" s="418" t="str">
        <f t="shared" si="18"/>
        <v/>
      </c>
      <c r="K60" s="431"/>
      <c r="L60" s="423"/>
      <c r="M60" s="418" t="str">
        <f t="shared" si="19"/>
        <v/>
      </c>
      <c r="N60" s="427"/>
      <c r="O60" s="423"/>
      <c r="P60" s="418" t="str">
        <f t="shared" si="29"/>
        <v/>
      </c>
      <c r="Q60" s="426"/>
      <c r="R60" s="423"/>
      <c r="S60" s="418" t="str">
        <f t="shared" si="21"/>
        <v/>
      </c>
      <c r="T60" s="419"/>
      <c r="U60" s="423"/>
      <c r="V60" s="418" t="str">
        <f t="shared" si="22"/>
        <v/>
      </c>
      <c r="W60" s="417"/>
      <c r="X60" s="423"/>
      <c r="Y60" s="418" t="str">
        <f t="shared" si="23"/>
        <v/>
      </c>
      <c r="Z60" s="417"/>
      <c r="AA60" s="59">
        <f t="shared" si="28"/>
        <v>0</v>
      </c>
      <c r="AB60" s="57">
        <f t="shared" si="24"/>
        <v>0</v>
      </c>
      <c r="AC60" s="57" t="str">
        <f t="shared" si="25"/>
        <v/>
      </c>
      <c r="AD60" s="58"/>
      <c r="AE60" s="58"/>
      <c r="AG60"/>
    </row>
    <row r="61" spans="1:33">
      <c r="B61" s="131">
        <f t="shared" si="15"/>
        <v>58</v>
      </c>
      <c r="C61" s="126" t="s">
        <v>165</v>
      </c>
      <c r="D61" s="128">
        <f t="shared" si="16"/>
        <v>0</v>
      </c>
      <c r="E61" s="135" t="s">
        <v>16</v>
      </c>
      <c r="F61" s="423"/>
      <c r="G61" s="418" t="str">
        <f t="shared" si="17"/>
        <v/>
      </c>
      <c r="H61" s="417"/>
      <c r="I61" s="423"/>
      <c r="J61" s="418" t="str">
        <f t="shared" si="18"/>
        <v/>
      </c>
      <c r="K61" s="431"/>
      <c r="L61" s="423"/>
      <c r="M61" s="418"/>
      <c r="N61" s="427"/>
      <c r="O61" s="423"/>
      <c r="P61" s="418"/>
      <c r="Q61" s="426"/>
      <c r="R61" s="423"/>
      <c r="S61" s="418" t="str">
        <f t="shared" si="21"/>
        <v/>
      </c>
      <c r="T61" s="419"/>
      <c r="U61" s="423"/>
      <c r="V61" s="418" t="str">
        <f t="shared" si="22"/>
        <v/>
      </c>
      <c r="W61" s="417"/>
      <c r="X61" s="423"/>
      <c r="Y61" s="418" t="str">
        <f t="shared" si="23"/>
        <v/>
      </c>
      <c r="Z61" s="417"/>
      <c r="AA61" s="59">
        <f t="shared" si="28"/>
        <v>0</v>
      </c>
      <c r="AB61" s="57">
        <f t="shared" si="24"/>
        <v>0</v>
      </c>
      <c r="AC61" s="57" t="str">
        <f t="shared" si="25"/>
        <v/>
      </c>
      <c r="AD61" s="58"/>
      <c r="AE61" s="58"/>
      <c r="AG61"/>
    </row>
    <row r="62" spans="1:33">
      <c r="B62" s="131">
        <f t="shared" si="15"/>
        <v>59</v>
      </c>
      <c r="C62" s="126" t="s">
        <v>169</v>
      </c>
      <c r="D62" s="128">
        <f t="shared" si="16"/>
        <v>0</v>
      </c>
      <c r="E62" s="135" t="s">
        <v>16</v>
      </c>
      <c r="F62" s="423"/>
      <c r="G62" s="418" t="str">
        <f t="shared" si="17"/>
        <v/>
      </c>
      <c r="H62" s="417"/>
      <c r="I62" s="423"/>
      <c r="J62" s="418" t="str">
        <f t="shared" si="18"/>
        <v/>
      </c>
      <c r="K62" s="431"/>
      <c r="L62" s="423"/>
      <c r="M62" s="418" t="str">
        <f>IF(L62="","",IF(L62&gt;50,"",51-L62))</f>
        <v/>
      </c>
      <c r="N62" s="417"/>
      <c r="O62" s="423"/>
      <c r="P62" s="418" t="str">
        <f>IF(O62="","",IF(O62&gt;50,"",51-O62))</f>
        <v/>
      </c>
      <c r="Q62" s="426"/>
      <c r="R62" s="423"/>
      <c r="S62" s="424" t="str">
        <f t="shared" si="21"/>
        <v/>
      </c>
      <c r="T62" s="419"/>
      <c r="U62" s="423"/>
      <c r="V62" s="418" t="str">
        <f t="shared" si="22"/>
        <v/>
      </c>
      <c r="W62" s="417"/>
      <c r="X62" s="423"/>
      <c r="Y62" s="418" t="str">
        <f t="shared" si="23"/>
        <v/>
      </c>
      <c r="Z62" s="417"/>
      <c r="AA62" s="59">
        <f t="shared" si="28"/>
        <v>0</v>
      </c>
      <c r="AB62" s="57">
        <f t="shared" si="24"/>
        <v>0</v>
      </c>
      <c r="AC62" s="57" t="str">
        <f t="shared" si="25"/>
        <v/>
      </c>
      <c r="AD62" s="58"/>
      <c r="AE62" s="58"/>
      <c r="AG62"/>
    </row>
    <row r="63" spans="1:33">
      <c r="B63" s="131">
        <f t="shared" si="15"/>
        <v>60</v>
      </c>
      <c r="C63" s="726" t="s">
        <v>166</v>
      </c>
      <c r="D63" s="128">
        <f t="shared" si="16"/>
        <v>0</v>
      </c>
      <c r="E63" s="737" t="s">
        <v>5</v>
      </c>
      <c r="F63" s="423"/>
      <c r="G63" s="418" t="str">
        <f t="shared" si="17"/>
        <v/>
      </c>
      <c r="H63" s="417"/>
      <c r="I63" s="423"/>
      <c r="J63" s="418" t="str">
        <f t="shared" si="18"/>
        <v/>
      </c>
      <c r="K63" s="417"/>
      <c r="L63" s="423"/>
      <c r="M63" s="418" t="str">
        <f>IF(L63="","",IF(L63&gt;50,"",51-L63))</f>
        <v/>
      </c>
      <c r="N63" s="427"/>
      <c r="O63" s="423"/>
      <c r="P63" s="418" t="str">
        <f>IF(O63="","",IF(O63&gt;50,"",51-O63))</f>
        <v/>
      </c>
      <c r="Q63" s="426"/>
      <c r="R63" s="423"/>
      <c r="S63" s="424" t="str">
        <f t="shared" si="21"/>
        <v/>
      </c>
      <c r="T63" s="419"/>
      <c r="U63" s="423"/>
      <c r="V63" s="418" t="str">
        <f t="shared" si="22"/>
        <v/>
      </c>
      <c r="W63" s="417"/>
      <c r="X63" s="423"/>
      <c r="Y63" s="418" t="str">
        <f t="shared" si="23"/>
        <v/>
      </c>
      <c r="Z63" s="417"/>
      <c r="AA63" s="59">
        <f t="shared" si="28"/>
        <v>0</v>
      </c>
      <c r="AB63" s="57">
        <f t="shared" si="24"/>
        <v>0</v>
      </c>
      <c r="AC63" s="57" t="str">
        <f t="shared" si="25"/>
        <v/>
      </c>
      <c r="AD63" s="58"/>
      <c r="AE63" s="58"/>
      <c r="AG63"/>
    </row>
    <row r="64" spans="1:33">
      <c r="B64" s="131">
        <f t="shared" si="15"/>
        <v>61</v>
      </c>
      <c r="C64" s="302" t="s">
        <v>17</v>
      </c>
      <c r="D64" s="128">
        <f t="shared" si="16"/>
        <v>0</v>
      </c>
      <c r="E64" s="299" t="s">
        <v>5</v>
      </c>
      <c r="F64" s="423"/>
      <c r="G64" s="418" t="str">
        <f t="shared" si="17"/>
        <v/>
      </c>
      <c r="H64" s="417"/>
      <c r="I64" s="423"/>
      <c r="J64" s="418" t="str">
        <f t="shared" si="18"/>
        <v/>
      </c>
      <c r="K64" s="417"/>
      <c r="L64" s="423"/>
      <c r="M64" s="418" t="str">
        <f>IF(L64="","",IF(L64&gt;50,"",51-L64))</f>
        <v/>
      </c>
      <c r="N64" s="427"/>
      <c r="O64" s="423"/>
      <c r="P64" s="418" t="str">
        <f>IF(O64="","",IF(O64&gt;50,"",51-O64))</f>
        <v/>
      </c>
      <c r="Q64" s="426"/>
      <c r="R64" s="423"/>
      <c r="S64" s="424" t="str">
        <f t="shared" si="21"/>
        <v/>
      </c>
      <c r="T64" s="419"/>
      <c r="U64" s="423"/>
      <c r="V64" s="418" t="str">
        <f t="shared" si="22"/>
        <v/>
      </c>
      <c r="W64" s="417"/>
      <c r="X64" s="423"/>
      <c r="Y64" s="418" t="str">
        <f t="shared" si="23"/>
        <v/>
      </c>
      <c r="Z64" s="417"/>
      <c r="AA64" s="59">
        <f t="shared" si="28"/>
        <v>0</v>
      </c>
      <c r="AB64" s="57">
        <f t="shared" si="24"/>
        <v>0</v>
      </c>
      <c r="AC64" s="57" t="str">
        <f t="shared" si="25"/>
        <v/>
      </c>
      <c r="AD64" s="58"/>
      <c r="AE64" s="58"/>
      <c r="AG64"/>
    </row>
    <row r="65" spans="2:33">
      <c r="B65" s="131">
        <f t="shared" si="15"/>
        <v>62</v>
      </c>
      <c r="C65" s="301" t="s">
        <v>160</v>
      </c>
      <c r="D65" s="128">
        <f t="shared" si="16"/>
        <v>0</v>
      </c>
      <c r="E65" s="299" t="s">
        <v>5</v>
      </c>
      <c r="F65" s="423"/>
      <c r="G65" s="418" t="str">
        <f t="shared" si="17"/>
        <v/>
      </c>
      <c r="H65" s="417"/>
      <c r="I65" s="423"/>
      <c r="J65" s="418" t="str">
        <f t="shared" si="18"/>
        <v/>
      </c>
      <c r="K65" s="417"/>
      <c r="L65" s="423"/>
      <c r="M65" s="418"/>
      <c r="N65" s="427"/>
      <c r="O65" s="423"/>
      <c r="P65" s="418"/>
      <c r="Q65" s="426"/>
      <c r="R65" s="423"/>
      <c r="S65" s="424" t="str">
        <f t="shared" si="21"/>
        <v/>
      </c>
      <c r="T65" s="419"/>
      <c r="U65" s="423"/>
      <c r="V65" s="418" t="str">
        <f t="shared" si="22"/>
        <v/>
      </c>
      <c r="W65" s="417"/>
      <c r="X65" s="423"/>
      <c r="Y65" s="418" t="str">
        <f t="shared" si="23"/>
        <v/>
      </c>
      <c r="Z65" s="417"/>
      <c r="AA65" s="57">
        <f t="shared" si="28"/>
        <v>0</v>
      </c>
      <c r="AB65" s="57">
        <f t="shared" si="24"/>
        <v>0</v>
      </c>
      <c r="AC65" s="57" t="str">
        <f t="shared" si="25"/>
        <v/>
      </c>
      <c r="AD65" s="58"/>
      <c r="AE65" s="58"/>
      <c r="AG65"/>
    </row>
    <row r="66" spans="2:33">
      <c r="B66" s="131">
        <f t="shared" si="15"/>
        <v>63</v>
      </c>
      <c r="C66" s="303" t="s">
        <v>168</v>
      </c>
      <c r="D66" s="128">
        <f t="shared" si="16"/>
        <v>0</v>
      </c>
      <c r="E66" s="304" t="s">
        <v>3</v>
      </c>
      <c r="F66" s="423"/>
      <c r="G66" s="418" t="str">
        <f t="shared" si="17"/>
        <v/>
      </c>
      <c r="H66" s="417"/>
      <c r="I66" s="423"/>
      <c r="J66" s="418" t="str">
        <f t="shared" si="18"/>
        <v/>
      </c>
      <c r="K66" s="417"/>
      <c r="L66" s="423"/>
      <c r="M66" s="432" t="str">
        <f>IF(L66="","",IF(L66&gt;50,"",51-L66))</f>
        <v/>
      </c>
      <c r="N66" s="427"/>
      <c r="O66" s="423"/>
      <c r="P66" s="418" t="str">
        <f>IF(O66="","",IF(O66&gt;50,"",51-O66))</f>
        <v/>
      </c>
      <c r="Q66" s="426"/>
      <c r="R66" s="423"/>
      <c r="S66" s="424" t="str">
        <f t="shared" si="21"/>
        <v/>
      </c>
      <c r="T66" s="419"/>
      <c r="U66" s="423"/>
      <c r="V66" s="418" t="str">
        <f t="shared" si="22"/>
        <v/>
      </c>
      <c r="W66" s="417"/>
      <c r="X66" s="423"/>
      <c r="Y66" s="418" t="str">
        <f t="shared" si="23"/>
        <v/>
      </c>
      <c r="Z66" s="417"/>
      <c r="AA66" s="59">
        <f t="shared" si="28"/>
        <v>0</v>
      </c>
      <c r="AB66" s="57">
        <f t="shared" si="24"/>
        <v>0</v>
      </c>
      <c r="AC66" s="57" t="str">
        <f t="shared" si="25"/>
        <v/>
      </c>
      <c r="AD66" s="58"/>
      <c r="AE66" s="58"/>
      <c r="AG66"/>
    </row>
    <row r="67" spans="2:33">
      <c r="B67" s="131">
        <f t="shared" si="15"/>
        <v>64</v>
      </c>
      <c r="C67" s="305" t="s">
        <v>92</v>
      </c>
      <c r="D67" s="128">
        <f t="shared" si="16"/>
        <v>0</v>
      </c>
      <c r="E67" s="304" t="s">
        <v>3</v>
      </c>
      <c r="F67" s="423"/>
      <c r="G67" s="418" t="str">
        <f t="shared" si="17"/>
        <v/>
      </c>
      <c r="H67" s="417"/>
      <c r="I67" s="423"/>
      <c r="J67" s="418" t="str">
        <f t="shared" si="18"/>
        <v/>
      </c>
      <c r="K67" s="417"/>
      <c r="L67" s="423"/>
      <c r="M67" s="418" t="str">
        <f>IF(L67="","",IF(L67&gt;50,"",51-L67))</f>
        <v/>
      </c>
      <c r="N67" s="427"/>
      <c r="O67" s="423"/>
      <c r="P67" s="418" t="str">
        <f>IF(O67="","",IF(O67&gt;50,"",51-O67))</f>
        <v/>
      </c>
      <c r="Q67" s="426"/>
      <c r="R67" s="423"/>
      <c r="S67" s="424" t="str">
        <f t="shared" si="21"/>
        <v/>
      </c>
      <c r="T67" s="419"/>
      <c r="U67" s="423"/>
      <c r="V67" s="418" t="str">
        <f t="shared" si="22"/>
        <v/>
      </c>
      <c r="W67" s="417"/>
      <c r="X67" s="423"/>
      <c r="Y67" s="418" t="str">
        <f t="shared" si="23"/>
        <v/>
      </c>
      <c r="Z67" s="417"/>
      <c r="AA67" s="59">
        <f t="shared" si="28"/>
        <v>0</v>
      </c>
      <c r="AB67" s="57">
        <f t="shared" si="24"/>
        <v>0</v>
      </c>
      <c r="AC67" s="57" t="str">
        <f t="shared" si="25"/>
        <v/>
      </c>
      <c r="AD67" s="58"/>
      <c r="AE67" s="58"/>
      <c r="AG67"/>
    </row>
    <row r="68" spans="2:33">
      <c r="B68" s="131">
        <f t="shared" si="15"/>
        <v>65</v>
      </c>
      <c r="C68" s="305" t="s">
        <v>77</v>
      </c>
      <c r="D68" s="128">
        <f t="shared" ref="D68:D95" si="30">IF(AA68&lt;2,0,1)</f>
        <v>0</v>
      </c>
      <c r="E68" s="304" t="s">
        <v>3</v>
      </c>
      <c r="F68" s="423"/>
      <c r="G68" s="418" t="str">
        <f>IF(F68="","",IF(F68&gt;50,"",51-F68))</f>
        <v/>
      </c>
      <c r="H68" s="417"/>
      <c r="I68" s="423"/>
      <c r="J68" s="418" t="str">
        <f>IF(I68="","",IF(I68&gt;50,"",51-I68))</f>
        <v/>
      </c>
      <c r="K68" s="426"/>
      <c r="L68" s="423"/>
      <c r="M68" s="418" t="str">
        <f>IF(L68="","",IF(L68&gt;50,"",51-L68))</f>
        <v/>
      </c>
      <c r="N68" s="427"/>
      <c r="O68" s="423"/>
      <c r="P68" s="418" t="str">
        <f>IF(O68="","",IF(O68&gt;50,"",51-O68))</f>
        <v/>
      </c>
      <c r="Q68" s="426"/>
      <c r="R68" s="423"/>
      <c r="S68" s="424" t="str">
        <f>IF(R68="","",IF(R68&gt;50,"",51-R68))</f>
        <v/>
      </c>
      <c r="T68" s="419"/>
      <c r="U68" s="423"/>
      <c r="V68" s="418" t="str">
        <f t="shared" ref="V68:V95" si="31">IF(U68="","",IF(U68&gt;50,"",51-U68))</f>
        <v/>
      </c>
      <c r="W68" s="417"/>
      <c r="X68" s="423"/>
      <c r="Y68" s="418" t="str">
        <f t="shared" ref="Y68:Y95" si="32">IF(X68="","",IF(X68&gt;50,"",51-X68))</f>
        <v/>
      </c>
      <c r="Z68" s="417"/>
      <c r="AA68" s="59">
        <f t="shared" si="28"/>
        <v>0</v>
      </c>
      <c r="AB68" s="57">
        <f t="shared" ref="AB68:AB92" si="33">SUM(G68,J68,M68,P68,S68,V68,Y68)</f>
        <v>0</v>
      </c>
      <c r="AC68" s="57" t="str">
        <f t="shared" ref="AC68:AC86" si="34">IF(AB68=0,"",SUM(AB68*1000)+AD68)</f>
        <v/>
      </c>
      <c r="AD68" s="58"/>
      <c r="AE68" s="58"/>
      <c r="AG68"/>
    </row>
    <row r="69" spans="2:33">
      <c r="B69" s="131">
        <f t="shared" si="15"/>
        <v>66</v>
      </c>
      <c r="C69" s="303" t="s">
        <v>173</v>
      </c>
      <c r="D69" s="128">
        <f t="shared" si="30"/>
        <v>0</v>
      </c>
      <c r="E69" s="304" t="s">
        <v>3</v>
      </c>
      <c r="F69" s="423"/>
      <c r="G69" s="418"/>
      <c r="H69" s="417"/>
      <c r="I69" s="423"/>
      <c r="J69" s="418"/>
      <c r="K69" s="426"/>
      <c r="L69" s="423"/>
      <c r="M69" s="418"/>
      <c r="N69" s="427"/>
      <c r="O69" s="423"/>
      <c r="P69" s="418"/>
      <c r="Q69" s="426"/>
      <c r="R69" s="423"/>
      <c r="S69" s="424"/>
      <c r="T69" s="419"/>
      <c r="U69" s="423"/>
      <c r="V69" s="418" t="str">
        <f t="shared" si="31"/>
        <v/>
      </c>
      <c r="W69" s="417"/>
      <c r="X69" s="423"/>
      <c r="Y69" s="418" t="str">
        <f t="shared" si="32"/>
        <v/>
      </c>
      <c r="Z69" s="417"/>
      <c r="AA69" s="59">
        <f t="shared" si="28"/>
        <v>0</v>
      </c>
      <c r="AB69" s="57">
        <f t="shared" si="33"/>
        <v>0</v>
      </c>
      <c r="AC69" s="57" t="str">
        <f t="shared" si="34"/>
        <v/>
      </c>
      <c r="AD69" s="58"/>
      <c r="AE69" s="58"/>
      <c r="AG69"/>
    </row>
    <row r="70" spans="2:33">
      <c r="B70" s="131">
        <f t="shared" si="15"/>
        <v>67</v>
      </c>
      <c r="C70" s="305" t="s">
        <v>162</v>
      </c>
      <c r="D70" s="128">
        <f t="shared" si="30"/>
        <v>0</v>
      </c>
      <c r="E70" s="304" t="s">
        <v>3</v>
      </c>
      <c r="F70" s="423"/>
      <c r="G70" s="418" t="str">
        <f t="shared" ref="G70:G86" si="35">IF(F70="","",IF(F70&gt;50,"",51-F70))</f>
        <v/>
      </c>
      <c r="H70" s="417"/>
      <c r="I70" s="423"/>
      <c r="J70" s="418" t="str">
        <f t="shared" ref="J70:J86" si="36">IF(I70="","",IF(I70&gt;50,"",51-I70))</f>
        <v/>
      </c>
      <c r="K70" s="417"/>
      <c r="L70" s="423"/>
      <c r="M70" s="418" t="str">
        <f t="shared" ref="M70:M95" si="37">IF(L70="","",IF(L70&gt;50,"",51-L70))</f>
        <v/>
      </c>
      <c r="N70" s="427"/>
      <c r="O70" s="423"/>
      <c r="P70" s="418" t="str">
        <f t="shared" ref="P70:P89" si="38">IF(O70="","",IF(O70&gt;50,"",51-O70))</f>
        <v/>
      </c>
      <c r="Q70" s="426"/>
      <c r="R70" s="423"/>
      <c r="S70" s="424" t="str">
        <f t="shared" ref="S70:S95" si="39">IF(R70="","",IF(R70&gt;50,"",51-R70))</f>
        <v/>
      </c>
      <c r="T70" s="419"/>
      <c r="U70" s="423"/>
      <c r="V70" s="418" t="str">
        <f t="shared" si="31"/>
        <v/>
      </c>
      <c r="W70" s="417"/>
      <c r="X70" s="423"/>
      <c r="Y70" s="418" t="str">
        <f t="shared" si="32"/>
        <v/>
      </c>
      <c r="Z70" s="417"/>
      <c r="AA70" s="59">
        <f t="shared" si="28"/>
        <v>0</v>
      </c>
      <c r="AB70" s="57">
        <f t="shared" si="33"/>
        <v>0</v>
      </c>
      <c r="AC70" s="57" t="str">
        <f t="shared" si="34"/>
        <v/>
      </c>
      <c r="AD70" s="58"/>
      <c r="AE70" s="58"/>
      <c r="AG70"/>
    </row>
    <row r="71" spans="2:33">
      <c r="B71" s="131">
        <f t="shared" ref="B71:B92" si="40">SUM(B70+1)</f>
        <v>68</v>
      </c>
      <c r="C71" s="305" t="s">
        <v>145</v>
      </c>
      <c r="D71" s="128">
        <f t="shared" si="30"/>
        <v>0</v>
      </c>
      <c r="E71" s="304" t="s">
        <v>3</v>
      </c>
      <c r="F71" s="423"/>
      <c r="G71" s="418" t="str">
        <f t="shared" si="35"/>
        <v/>
      </c>
      <c r="H71" s="417"/>
      <c r="I71" s="423"/>
      <c r="J71" s="418" t="str">
        <f t="shared" si="36"/>
        <v/>
      </c>
      <c r="K71" s="426"/>
      <c r="L71" s="423"/>
      <c r="M71" s="418" t="str">
        <f t="shared" si="37"/>
        <v/>
      </c>
      <c r="N71" s="427"/>
      <c r="O71" s="423"/>
      <c r="P71" s="418" t="str">
        <f t="shared" si="38"/>
        <v/>
      </c>
      <c r="Q71" s="426"/>
      <c r="R71" s="423"/>
      <c r="S71" s="424" t="str">
        <f t="shared" si="39"/>
        <v/>
      </c>
      <c r="T71" s="419"/>
      <c r="U71" s="423"/>
      <c r="V71" s="418" t="str">
        <f t="shared" si="31"/>
        <v/>
      </c>
      <c r="W71" s="417"/>
      <c r="X71" s="423"/>
      <c r="Y71" s="418" t="str">
        <f t="shared" si="32"/>
        <v/>
      </c>
      <c r="Z71" s="417"/>
      <c r="AA71" s="59">
        <f t="shared" si="28"/>
        <v>0</v>
      </c>
      <c r="AB71" s="57">
        <f t="shared" si="33"/>
        <v>0</v>
      </c>
      <c r="AC71" s="57" t="str">
        <f t="shared" si="34"/>
        <v/>
      </c>
      <c r="AD71" s="58"/>
      <c r="AE71" s="58"/>
      <c r="AG71"/>
    </row>
    <row r="72" spans="2:33">
      <c r="B72" s="131">
        <f t="shared" si="40"/>
        <v>69</v>
      </c>
      <c r="C72" s="306" t="s">
        <v>172</v>
      </c>
      <c r="D72" s="128">
        <f t="shared" si="30"/>
        <v>0</v>
      </c>
      <c r="E72" s="304" t="s">
        <v>3</v>
      </c>
      <c r="F72" s="423"/>
      <c r="G72" s="418" t="str">
        <f t="shared" si="35"/>
        <v/>
      </c>
      <c r="H72" s="417"/>
      <c r="I72" s="423"/>
      <c r="J72" s="418" t="str">
        <f t="shared" si="36"/>
        <v/>
      </c>
      <c r="K72" s="426"/>
      <c r="L72" s="423"/>
      <c r="M72" s="418" t="str">
        <f t="shared" si="37"/>
        <v/>
      </c>
      <c r="N72" s="427"/>
      <c r="O72" s="423"/>
      <c r="P72" s="418" t="str">
        <f t="shared" si="38"/>
        <v/>
      </c>
      <c r="Q72" s="426"/>
      <c r="R72" s="423"/>
      <c r="S72" s="424" t="str">
        <f t="shared" si="39"/>
        <v/>
      </c>
      <c r="T72" s="419"/>
      <c r="U72" s="423"/>
      <c r="V72" s="418" t="str">
        <f t="shared" si="31"/>
        <v/>
      </c>
      <c r="W72" s="417"/>
      <c r="X72" s="423"/>
      <c r="Y72" s="418" t="str">
        <f t="shared" si="32"/>
        <v/>
      </c>
      <c r="Z72" s="417"/>
      <c r="AA72" s="59">
        <f t="shared" si="28"/>
        <v>0</v>
      </c>
      <c r="AB72" s="57">
        <f t="shared" si="33"/>
        <v>0</v>
      </c>
      <c r="AC72" s="57" t="str">
        <f t="shared" si="34"/>
        <v/>
      </c>
      <c r="AD72" s="58"/>
      <c r="AE72" s="58"/>
      <c r="AG72"/>
    </row>
    <row r="73" spans="2:33">
      <c r="B73" s="131">
        <f t="shared" si="40"/>
        <v>70</v>
      </c>
      <c r="C73" s="305" t="s">
        <v>171</v>
      </c>
      <c r="D73" s="128">
        <f t="shared" si="30"/>
        <v>0</v>
      </c>
      <c r="E73" s="304" t="s">
        <v>3</v>
      </c>
      <c r="F73" s="430"/>
      <c r="G73" s="418" t="str">
        <f t="shared" si="35"/>
        <v/>
      </c>
      <c r="H73" s="431"/>
      <c r="I73" s="423"/>
      <c r="J73" s="418" t="str">
        <f t="shared" si="36"/>
        <v/>
      </c>
      <c r="K73" s="426"/>
      <c r="L73" s="430"/>
      <c r="M73" s="418" t="str">
        <f t="shared" si="37"/>
        <v/>
      </c>
      <c r="N73" s="433"/>
      <c r="O73" s="430"/>
      <c r="P73" s="418" t="str">
        <f t="shared" si="38"/>
        <v/>
      </c>
      <c r="Q73" s="429"/>
      <c r="R73" s="430"/>
      <c r="S73" s="424" t="str">
        <f t="shared" si="39"/>
        <v/>
      </c>
      <c r="T73" s="435"/>
      <c r="U73" s="423"/>
      <c r="V73" s="418" t="str">
        <f t="shared" si="31"/>
        <v/>
      </c>
      <c r="W73" s="417"/>
      <c r="X73" s="430"/>
      <c r="Y73" s="418" t="str">
        <f t="shared" si="32"/>
        <v/>
      </c>
      <c r="Z73" s="417"/>
      <c r="AA73" s="59">
        <f t="shared" si="28"/>
        <v>0</v>
      </c>
      <c r="AB73" s="57">
        <f t="shared" si="33"/>
        <v>0</v>
      </c>
      <c r="AC73" s="374" t="str">
        <f t="shared" si="34"/>
        <v/>
      </c>
      <c r="AD73" s="53"/>
      <c r="AE73" s="53"/>
      <c r="AG73"/>
    </row>
    <row r="74" spans="2:33">
      <c r="B74" s="131">
        <f t="shared" si="40"/>
        <v>71</v>
      </c>
      <c r="C74" s="303" t="s">
        <v>28</v>
      </c>
      <c r="D74" s="128">
        <f t="shared" si="30"/>
        <v>0</v>
      </c>
      <c r="E74" s="304" t="s">
        <v>3</v>
      </c>
      <c r="F74" s="423"/>
      <c r="G74" s="418" t="str">
        <f t="shared" si="35"/>
        <v/>
      </c>
      <c r="H74" s="417"/>
      <c r="I74" s="423"/>
      <c r="J74" s="418" t="str">
        <f t="shared" si="36"/>
        <v/>
      </c>
      <c r="K74" s="426"/>
      <c r="L74" s="430"/>
      <c r="M74" s="418" t="str">
        <f t="shared" si="37"/>
        <v/>
      </c>
      <c r="N74" s="417"/>
      <c r="O74" s="423"/>
      <c r="P74" s="418" t="str">
        <f t="shared" si="38"/>
        <v/>
      </c>
      <c r="Q74" s="426"/>
      <c r="R74" s="430"/>
      <c r="S74" s="424" t="str">
        <f t="shared" si="39"/>
        <v/>
      </c>
      <c r="T74" s="435"/>
      <c r="U74" s="430"/>
      <c r="V74" s="418" t="str">
        <f t="shared" si="31"/>
        <v/>
      </c>
      <c r="W74" s="431"/>
      <c r="X74" s="423"/>
      <c r="Y74" s="418" t="str">
        <f t="shared" si="32"/>
        <v/>
      </c>
      <c r="Z74" s="417"/>
      <c r="AA74" s="59">
        <f t="shared" si="28"/>
        <v>0</v>
      </c>
      <c r="AB74" s="57">
        <f t="shared" si="33"/>
        <v>0</v>
      </c>
      <c r="AC74" s="57" t="str">
        <f t="shared" si="34"/>
        <v/>
      </c>
      <c r="AD74" s="53"/>
      <c r="AE74" s="53"/>
      <c r="AF74" s="24" t="s">
        <v>19</v>
      </c>
      <c r="AG74"/>
    </row>
    <row r="75" spans="2:33">
      <c r="B75" s="131">
        <f t="shared" si="40"/>
        <v>72</v>
      </c>
      <c r="C75" s="305" t="s">
        <v>143</v>
      </c>
      <c r="D75" s="128">
        <f t="shared" si="30"/>
        <v>0</v>
      </c>
      <c r="E75" s="307" t="s">
        <v>3</v>
      </c>
      <c r="F75" s="423"/>
      <c r="G75" s="418" t="str">
        <f t="shared" si="35"/>
        <v/>
      </c>
      <c r="H75" s="417"/>
      <c r="I75" s="423"/>
      <c r="J75" s="418" t="str">
        <f t="shared" si="36"/>
        <v/>
      </c>
      <c r="K75" s="426"/>
      <c r="L75" s="423"/>
      <c r="M75" s="418" t="str">
        <f t="shared" si="37"/>
        <v/>
      </c>
      <c r="N75" s="417"/>
      <c r="O75" s="423"/>
      <c r="P75" s="434" t="str">
        <f t="shared" si="38"/>
        <v/>
      </c>
      <c r="Q75" s="426"/>
      <c r="R75" s="423"/>
      <c r="S75" s="424" t="str">
        <f t="shared" si="39"/>
        <v/>
      </c>
      <c r="T75" s="419"/>
      <c r="U75" s="423"/>
      <c r="V75" s="418" t="str">
        <f t="shared" si="31"/>
        <v/>
      </c>
      <c r="W75" s="417"/>
      <c r="X75" s="423"/>
      <c r="Y75" s="418" t="str">
        <f t="shared" si="32"/>
        <v/>
      </c>
      <c r="Z75" s="417"/>
      <c r="AA75" s="59">
        <f t="shared" si="28"/>
        <v>0</v>
      </c>
      <c r="AB75" s="57">
        <f t="shared" si="33"/>
        <v>0</v>
      </c>
      <c r="AC75" s="374" t="str">
        <f t="shared" si="34"/>
        <v/>
      </c>
      <c r="AD75" s="53"/>
      <c r="AE75" s="53"/>
      <c r="AG75"/>
    </row>
    <row r="76" spans="2:33">
      <c r="B76" s="131">
        <f t="shared" si="40"/>
        <v>73</v>
      </c>
      <c r="C76" s="308" t="s">
        <v>12</v>
      </c>
      <c r="D76" s="128">
        <f t="shared" si="30"/>
        <v>0</v>
      </c>
      <c r="E76" s="310" t="s">
        <v>0</v>
      </c>
      <c r="F76" s="423"/>
      <c r="G76" s="418" t="str">
        <f t="shared" si="35"/>
        <v/>
      </c>
      <c r="H76" s="417"/>
      <c r="I76" s="423"/>
      <c r="J76" s="418" t="str">
        <f t="shared" si="36"/>
        <v/>
      </c>
      <c r="K76" s="426"/>
      <c r="L76" s="423"/>
      <c r="M76" s="418" t="str">
        <f t="shared" si="37"/>
        <v/>
      </c>
      <c r="N76" s="417"/>
      <c r="O76" s="423"/>
      <c r="P76" s="418" t="str">
        <f t="shared" si="38"/>
        <v/>
      </c>
      <c r="Q76" s="426"/>
      <c r="R76" s="423"/>
      <c r="S76" s="424" t="str">
        <f t="shared" si="39"/>
        <v/>
      </c>
      <c r="T76" s="419"/>
      <c r="U76" s="423"/>
      <c r="V76" s="725" t="str">
        <f t="shared" si="31"/>
        <v/>
      </c>
      <c r="W76" s="417"/>
      <c r="X76" s="423"/>
      <c r="Y76" s="434" t="str">
        <f t="shared" si="32"/>
        <v/>
      </c>
      <c r="Z76" s="417"/>
      <c r="AA76" s="59">
        <f t="shared" si="28"/>
        <v>0</v>
      </c>
      <c r="AB76" s="57">
        <f t="shared" si="33"/>
        <v>0</v>
      </c>
      <c r="AC76" s="57" t="str">
        <f t="shared" si="34"/>
        <v/>
      </c>
      <c r="AD76" s="53"/>
      <c r="AE76" s="53"/>
      <c r="AG76"/>
    </row>
    <row r="77" spans="2:33">
      <c r="B77" s="131">
        <f t="shared" si="40"/>
        <v>74</v>
      </c>
      <c r="C77" s="309" t="s">
        <v>60</v>
      </c>
      <c r="D77" s="128">
        <f t="shared" si="30"/>
        <v>0</v>
      </c>
      <c r="E77" s="310" t="s">
        <v>0</v>
      </c>
      <c r="F77" s="423"/>
      <c r="G77" s="418" t="str">
        <f t="shared" si="35"/>
        <v/>
      </c>
      <c r="H77" s="417"/>
      <c r="I77" s="423"/>
      <c r="J77" s="418" t="str">
        <f t="shared" si="36"/>
        <v/>
      </c>
      <c r="K77" s="426"/>
      <c r="L77" s="423"/>
      <c r="M77" s="418" t="str">
        <f t="shared" si="37"/>
        <v/>
      </c>
      <c r="N77" s="417"/>
      <c r="O77" s="423"/>
      <c r="P77" s="418" t="str">
        <f t="shared" si="38"/>
        <v/>
      </c>
      <c r="Q77" s="426"/>
      <c r="R77" s="423"/>
      <c r="S77" s="424" t="str">
        <f t="shared" si="39"/>
        <v/>
      </c>
      <c r="T77" s="419"/>
      <c r="U77" s="423"/>
      <c r="V77" s="418" t="str">
        <f t="shared" si="31"/>
        <v/>
      </c>
      <c r="W77" s="417"/>
      <c r="X77" s="423"/>
      <c r="Y77" s="418" t="str">
        <f t="shared" si="32"/>
        <v/>
      </c>
      <c r="Z77" s="417"/>
      <c r="AA77" s="59">
        <f t="shared" si="28"/>
        <v>0</v>
      </c>
      <c r="AB77" s="57">
        <f t="shared" si="33"/>
        <v>0</v>
      </c>
      <c r="AC77" s="57" t="str">
        <f t="shared" si="34"/>
        <v/>
      </c>
      <c r="AD77" s="53"/>
      <c r="AE77" s="53"/>
      <c r="AG77"/>
    </row>
    <row r="78" spans="2:33">
      <c r="B78" s="131">
        <f t="shared" si="40"/>
        <v>75</v>
      </c>
      <c r="C78" s="265" t="s">
        <v>167</v>
      </c>
      <c r="D78" s="128">
        <f t="shared" si="30"/>
        <v>0</v>
      </c>
      <c r="E78" s="130" t="s">
        <v>6</v>
      </c>
      <c r="F78" s="423"/>
      <c r="G78" s="418" t="str">
        <f t="shared" si="35"/>
        <v/>
      </c>
      <c r="H78" s="417"/>
      <c r="I78" s="423"/>
      <c r="J78" s="418" t="str">
        <f t="shared" si="36"/>
        <v/>
      </c>
      <c r="K78" s="429"/>
      <c r="L78" s="423"/>
      <c r="M78" s="418" t="str">
        <f t="shared" si="37"/>
        <v/>
      </c>
      <c r="N78" s="417"/>
      <c r="O78" s="423"/>
      <c r="P78" s="418" t="str">
        <f t="shared" si="38"/>
        <v/>
      </c>
      <c r="Q78" s="426"/>
      <c r="R78" s="423"/>
      <c r="S78" s="424" t="str">
        <f t="shared" si="39"/>
        <v/>
      </c>
      <c r="T78" s="419"/>
      <c r="U78" s="423"/>
      <c r="V78" s="418" t="str">
        <f t="shared" si="31"/>
        <v/>
      </c>
      <c r="W78" s="417"/>
      <c r="X78" s="423"/>
      <c r="Y78" s="418" t="str">
        <f t="shared" si="32"/>
        <v/>
      </c>
      <c r="Z78" s="417"/>
      <c r="AA78" s="59">
        <f t="shared" ref="AA78:AA92" si="41">COUNT(X78,U78,R78,O78,L78,I78,F78)</f>
        <v>0</v>
      </c>
      <c r="AB78" s="57">
        <f t="shared" si="33"/>
        <v>0</v>
      </c>
      <c r="AC78" s="57" t="str">
        <f t="shared" si="34"/>
        <v/>
      </c>
      <c r="AD78" s="53"/>
      <c r="AE78" s="53"/>
      <c r="AG78"/>
    </row>
    <row r="79" spans="2:33">
      <c r="B79" s="131">
        <f t="shared" si="40"/>
        <v>76</v>
      </c>
      <c r="C79" s="129" t="s">
        <v>25</v>
      </c>
      <c r="D79" s="128">
        <f t="shared" si="30"/>
        <v>0</v>
      </c>
      <c r="E79" s="130" t="s">
        <v>6</v>
      </c>
      <c r="F79" s="423"/>
      <c r="G79" s="418" t="str">
        <f t="shared" si="35"/>
        <v/>
      </c>
      <c r="H79" s="417"/>
      <c r="I79" s="423"/>
      <c r="J79" s="418" t="str">
        <f t="shared" si="36"/>
        <v/>
      </c>
      <c r="K79" s="426"/>
      <c r="L79" s="423"/>
      <c r="M79" s="418" t="str">
        <f t="shared" si="37"/>
        <v/>
      </c>
      <c r="N79" s="417"/>
      <c r="O79" s="423"/>
      <c r="P79" s="418" t="str">
        <f t="shared" si="38"/>
        <v/>
      </c>
      <c r="Q79" s="426"/>
      <c r="R79" s="423"/>
      <c r="S79" s="424" t="str">
        <f t="shared" si="39"/>
        <v/>
      </c>
      <c r="T79" s="419"/>
      <c r="U79" s="423"/>
      <c r="V79" s="418" t="str">
        <f t="shared" si="31"/>
        <v/>
      </c>
      <c r="W79" s="417"/>
      <c r="X79" s="423"/>
      <c r="Y79" s="418" t="str">
        <f t="shared" si="32"/>
        <v/>
      </c>
      <c r="Z79" s="417"/>
      <c r="AA79" s="59">
        <f t="shared" si="41"/>
        <v>0</v>
      </c>
      <c r="AB79" s="57">
        <f t="shared" si="33"/>
        <v>0</v>
      </c>
      <c r="AC79" s="57" t="str">
        <f t="shared" si="34"/>
        <v/>
      </c>
      <c r="AD79" s="53"/>
      <c r="AE79" s="53"/>
      <c r="AG79"/>
    </row>
    <row r="80" spans="2:33">
      <c r="B80" s="131">
        <f t="shared" si="40"/>
        <v>77</v>
      </c>
      <c r="C80" s="129" t="s">
        <v>91</v>
      </c>
      <c r="D80" s="128">
        <f t="shared" si="30"/>
        <v>0</v>
      </c>
      <c r="E80" s="130" t="s">
        <v>6</v>
      </c>
      <c r="F80" s="423"/>
      <c r="G80" s="418" t="str">
        <f t="shared" si="35"/>
        <v/>
      </c>
      <c r="H80" s="417"/>
      <c r="I80" s="423"/>
      <c r="J80" s="418" t="str">
        <f t="shared" si="36"/>
        <v/>
      </c>
      <c r="K80" s="417"/>
      <c r="L80" s="423"/>
      <c r="M80" s="418" t="str">
        <f t="shared" si="37"/>
        <v/>
      </c>
      <c r="N80" s="417"/>
      <c r="O80" s="423"/>
      <c r="P80" s="418" t="str">
        <f t="shared" si="38"/>
        <v/>
      </c>
      <c r="Q80" s="426"/>
      <c r="R80" s="423"/>
      <c r="S80" s="424" t="str">
        <f t="shared" si="39"/>
        <v/>
      </c>
      <c r="T80" s="419"/>
      <c r="U80" s="423"/>
      <c r="V80" s="418" t="str">
        <f t="shared" si="31"/>
        <v/>
      </c>
      <c r="W80" s="417"/>
      <c r="X80" s="430"/>
      <c r="Y80" s="418" t="str">
        <f t="shared" si="32"/>
        <v/>
      </c>
      <c r="Z80" s="431"/>
      <c r="AA80" s="59">
        <f t="shared" si="41"/>
        <v>0</v>
      </c>
      <c r="AB80" s="57">
        <f t="shared" si="33"/>
        <v>0</v>
      </c>
      <c r="AC80" s="57" t="str">
        <f t="shared" si="34"/>
        <v/>
      </c>
      <c r="AD80" s="53"/>
      <c r="AE80" s="53"/>
      <c r="AG80"/>
    </row>
    <row r="81" spans="2:33">
      <c r="B81" s="131">
        <f t="shared" si="40"/>
        <v>78</v>
      </c>
      <c r="C81" s="129" t="s">
        <v>10</v>
      </c>
      <c r="D81" s="128">
        <f t="shared" si="30"/>
        <v>0</v>
      </c>
      <c r="E81" s="130" t="s">
        <v>6</v>
      </c>
      <c r="F81" s="423"/>
      <c r="G81" s="418" t="str">
        <f t="shared" si="35"/>
        <v/>
      </c>
      <c r="H81" s="417"/>
      <c r="I81" s="423"/>
      <c r="J81" s="418" t="str">
        <f t="shared" si="36"/>
        <v/>
      </c>
      <c r="K81" s="426"/>
      <c r="L81" s="423"/>
      <c r="M81" s="418" t="str">
        <f t="shared" si="37"/>
        <v/>
      </c>
      <c r="N81" s="417"/>
      <c r="O81" s="430"/>
      <c r="P81" s="418" t="str">
        <f t="shared" si="38"/>
        <v/>
      </c>
      <c r="Q81" s="429"/>
      <c r="R81" s="423"/>
      <c r="S81" s="424" t="str">
        <f t="shared" si="39"/>
        <v/>
      </c>
      <c r="T81" s="419"/>
      <c r="U81" s="423"/>
      <c r="V81" s="418" t="str">
        <f t="shared" si="31"/>
        <v/>
      </c>
      <c r="W81" s="417"/>
      <c r="X81" s="430"/>
      <c r="Y81" s="418" t="str">
        <f t="shared" si="32"/>
        <v/>
      </c>
      <c r="Z81" s="431"/>
      <c r="AA81" s="59">
        <f t="shared" si="41"/>
        <v>0</v>
      </c>
      <c r="AB81" s="57">
        <f t="shared" si="33"/>
        <v>0</v>
      </c>
      <c r="AC81" s="57" t="str">
        <f t="shared" si="34"/>
        <v/>
      </c>
      <c r="AD81" s="53"/>
      <c r="AE81" s="53"/>
      <c r="AG81"/>
    </row>
    <row r="82" spans="2:33">
      <c r="B82" s="131">
        <f t="shared" si="40"/>
        <v>79</v>
      </c>
      <c r="C82" s="129" t="s">
        <v>43</v>
      </c>
      <c r="D82" s="128">
        <f t="shared" si="30"/>
        <v>0</v>
      </c>
      <c r="E82" s="130" t="s">
        <v>6</v>
      </c>
      <c r="F82" s="423"/>
      <c r="G82" s="418" t="str">
        <f t="shared" si="35"/>
        <v/>
      </c>
      <c r="H82" s="417"/>
      <c r="I82" s="423"/>
      <c r="J82" s="418" t="str">
        <f t="shared" si="36"/>
        <v/>
      </c>
      <c r="K82" s="417"/>
      <c r="L82" s="423"/>
      <c r="M82" s="418" t="str">
        <f t="shared" si="37"/>
        <v/>
      </c>
      <c r="N82" s="417"/>
      <c r="O82" s="430"/>
      <c r="P82" s="418" t="str">
        <f t="shared" si="38"/>
        <v/>
      </c>
      <c r="Q82" s="429"/>
      <c r="R82" s="430"/>
      <c r="S82" s="424" t="str">
        <f t="shared" si="39"/>
        <v/>
      </c>
      <c r="T82" s="435"/>
      <c r="U82" s="430"/>
      <c r="V82" s="418" t="str">
        <f t="shared" si="31"/>
        <v/>
      </c>
      <c r="W82" s="431"/>
      <c r="X82" s="430"/>
      <c r="Y82" s="418" t="str">
        <f t="shared" si="32"/>
        <v/>
      </c>
      <c r="Z82" s="431"/>
      <c r="AA82" s="59">
        <f t="shared" si="41"/>
        <v>0</v>
      </c>
      <c r="AB82" s="57">
        <f t="shared" si="33"/>
        <v>0</v>
      </c>
      <c r="AC82" s="57" t="str">
        <f t="shared" si="34"/>
        <v/>
      </c>
      <c r="AD82" s="53"/>
      <c r="AE82" s="53"/>
      <c r="AG82"/>
    </row>
    <row r="83" spans="2:33">
      <c r="B83" s="131">
        <f t="shared" si="40"/>
        <v>80</v>
      </c>
      <c r="C83" s="449" t="s">
        <v>95</v>
      </c>
      <c r="D83" s="128">
        <f t="shared" si="30"/>
        <v>0</v>
      </c>
      <c r="E83" s="130" t="s">
        <v>6</v>
      </c>
      <c r="F83" s="423"/>
      <c r="G83" s="418" t="str">
        <f t="shared" si="35"/>
        <v/>
      </c>
      <c r="H83" s="417"/>
      <c r="I83" s="423"/>
      <c r="J83" s="418" t="str">
        <f t="shared" si="36"/>
        <v/>
      </c>
      <c r="K83" s="417"/>
      <c r="L83" s="423"/>
      <c r="M83" s="418" t="str">
        <f t="shared" si="37"/>
        <v/>
      </c>
      <c r="N83" s="417"/>
      <c r="O83" s="430"/>
      <c r="P83" s="418" t="str">
        <f t="shared" si="38"/>
        <v/>
      </c>
      <c r="Q83" s="429"/>
      <c r="R83" s="430"/>
      <c r="S83" s="424" t="str">
        <f t="shared" si="39"/>
        <v/>
      </c>
      <c r="T83" s="435"/>
      <c r="U83" s="430"/>
      <c r="V83" s="418" t="str">
        <f t="shared" si="31"/>
        <v/>
      </c>
      <c r="W83" s="431"/>
      <c r="X83" s="430"/>
      <c r="Y83" s="418" t="str">
        <f t="shared" si="32"/>
        <v/>
      </c>
      <c r="Z83" s="431"/>
      <c r="AA83" s="59">
        <f t="shared" si="41"/>
        <v>0</v>
      </c>
      <c r="AB83" s="57">
        <f t="shared" si="33"/>
        <v>0</v>
      </c>
      <c r="AC83" s="57" t="str">
        <f t="shared" si="34"/>
        <v/>
      </c>
      <c r="AD83" s="53"/>
      <c r="AE83" s="53"/>
      <c r="AG83"/>
    </row>
    <row r="84" spans="2:33">
      <c r="B84" s="131">
        <f t="shared" si="40"/>
        <v>81</v>
      </c>
      <c r="C84" s="265" t="s">
        <v>157</v>
      </c>
      <c r="D84" s="128">
        <f t="shared" si="30"/>
        <v>0</v>
      </c>
      <c r="E84" s="130" t="s">
        <v>6</v>
      </c>
      <c r="F84" s="423"/>
      <c r="G84" s="418" t="str">
        <f t="shared" si="35"/>
        <v/>
      </c>
      <c r="H84" s="417"/>
      <c r="I84" s="430"/>
      <c r="J84" s="418" t="str">
        <f t="shared" si="36"/>
        <v/>
      </c>
      <c r="K84" s="435"/>
      <c r="L84" s="423"/>
      <c r="M84" s="418" t="str">
        <f t="shared" si="37"/>
        <v/>
      </c>
      <c r="N84" s="417"/>
      <c r="O84" s="430"/>
      <c r="P84" s="418" t="str">
        <f t="shared" si="38"/>
        <v/>
      </c>
      <c r="Q84" s="429"/>
      <c r="R84" s="430"/>
      <c r="S84" s="418" t="str">
        <f t="shared" si="39"/>
        <v/>
      </c>
      <c r="T84" s="435"/>
      <c r="U84" s="430"/>
      <c r="V84" s="418" t="str">
        <f t="shared" si="31"/>
        <v/>
      </c>
      <c r="W84" s="431"/>
      <c r="X84" s="430"/>
      <c r="Y84" s="418" t="str">
        <f t="shared" si="32"/>
        <v/>
      </c>
      <c r="Z84" s="431"/>
      <c r="AA84" s="59">
        <f t="shared" si="41"/>
        <v>0</v>
      </c>
      <c r="AB84" s="57">
        <f t="shared" si="33"/>
        <v>0</v>
      </c>
      <c r="AC84" s="57" t="str">
        <f t="shared" si="34"/>
        <v/>
      </c>
      <c r="AD84" s="53"/>
      <c r="AE84" s="53"/>
      <c r="AG84"/>
    </row>
    <row r="85" spans="2:33">
      <c r="B85" s="131">
        <f t="shared" si="40"/>
        <v>82</v>
      </c>
      <c r="C85" s="133" t="s">
        <v>119</v>
      </c>
      <c r="D85" s="128">
        <f t="shared" si="30"/>
        <v>0</v>
      </c>
      <c r="E85" s="130" t="s">
        <v>6</v>
      </c>
      <c r="F85" s="423"/>
      <c r="G85" s="418" t="str">
        <f t="shared" si="35"/>
        <v/>
      </c>
      <c r="H85" s="417"/>
      <c r="I85" s="430"/>
      <c r="J85" s="418" t="str">
        <f t="shared" si="36"/>
        <v/>
      </c>
      <c r="K85" s="429"/>
      <c r="L85" s="423"/>
      <c r="M85" s="418" t="str">
        <f t="shared" si="37"/>
        <v/>
      </c>
      <c r="N85" s="417"/>
      <c r="O85" s="430"/>
      <c r="P85" s="418" t="str">
        <f t="shared" si="38"/>
        <v/>
      </c>
      <c r="Q85" s="429"/>
      <c r="R85" s="430"/>
      <c r="S85" s="424" t="str">
        <f t="shared" si="39"/>
        <v/>
      </c>
      <c r="T85" s="435"/>
      <c r="U85" s="430"/>
      <c r="V85" s="418" t="str">
        <f t="shared" si="31"/>
        <v/>
      </c>
      <c r="W85" s="431"/>
      <c r="X85" s="423"/>
      <c r="Y85" s="418" t="str">
        <f t="shared" si="32"/>
        <v/>
      </c>
      <c r="Z85" s="417"/>
      <c r="AA85" s="59">
        <f t="shared" si="41"/>
        <v>0</v>
      </c>
      <c r="AB85" s="57">
        <f t="shared" si="33"/>
        <v>0</v>
      </c>
      <c r="AC85" s="57" t="str">
        <f t="shared" si="34"/>
        <v/>
      </c>
      <c r="AD85" s="53"/>
      <c r="AE85" s="53"/>
      <c r="AG85"/>
    </row>
    <row r="86" spans="2:33">
      <c r="B86" s="131">
        <f t="shared" si="40"/>
        <v>83</v>
      </c>
      <c r="C86" s="129" t="s">
        <v>71</v>
      </c>
      <c r="D86" s="128">
        <f t="shared" si="30"/>
        <v>0</v>
      </c>
      <c r="E86" s="130" t="s">
        <v>6</v>
      </c>
      <c r="F86" s="423"/>
      <c r="G86" s="418" t="str">
        <f t="shared" si="35"/>
        <v/>
      </c>
      <c r="H86" s="417"/>
      <c r="I86" s="423"/>
      <c r="J86" s="418" t="str">
        <f t="shared" si="36"/>
        <v/>
      </c>
      <c r="K86" s="417"/>
      <c r="L86" s="423"/>
      <c r="M86" s="418" t="str">
        <f t="shared" si="37"/>
        <v/>
      </c>
      <c r="N86" s="417"/>
      <c r="O86" s="430"/>
      <c r="P86" s="418" t="str">
        <f t="shared" si="38"/>
        <v/>
      </c>
      <c r="Q86" s="429"/>
      <c r="R86" s="430"/>
      <c r="S86" s="424" t="str">
        <f t="shared" si="39"/>
        <v/>
      </c>
      <c r="T86" s="435"/>
      <c r="U86" s="430"/>
      <c r="V86" s="418" t="str">
        <f t="shared" si="31"/>
        <v/>
      </c>
      <c r="W86" s="431"/>
      <c r="X86" s="423"/>
      <c r="Y86" s="418" t="str">
        <f t="shared" si="32"/>
        <v/>
      </c>
      <c r="Z86" s="417"/>
      <c r="AA86" s="59">
        <f t="shared" si="41"/>
        <v>0</v>
      </c>
      <c r="AB86" s="57">
        <f t="shared" si="33"/>
        <v>0</v>
      </c>
      <c r="AC86" s="57" t="str">
        <f t="shared" si="34"/>
        <v/>
      </c>
      <c r="AD86" s="53"/>
      <c r="AE86" s="53"/>
      <c r="AG86"/>
    </row>
    <row r="87" spans="2:33">
      <c r="B87" s="131">
        <f t="shared" si="40"/>
        <v>84</v>
      </c>
      <c r="C87" s="126" t="s">
        <v>68</v>
      </c>
      <c r="D87" s="128">
        <f t="shared" si="30"/>
        <v>0</v>
      </c>
      <c r="E87" s="132" t="s">
        <v>16</v>
      </c>
      <c r="F87" s="423"/>
      <c r="G87" s="418"/>
      <c r="H87" s="417"/>
      <c r="I87" s="423"/>
      <c r="J87" s="418"/>
      <c r="K87" s="417"/>
      <c r="L87" s="423"/>
      <c r="M87" s="418" t="str">
        <f t="shared" si="37"/>
        <v/>
      </c>
      <c r="N87" s="417"/>
      <c r="O87" s="430"/>
      <c r="P87" s="418" t="str">
        <f t="shared" si="38"/>
        <v/>
      </c>
      <c r="Q87" s="429"/>
      <c r="R87" s="430"/>
      <c r="S87" s="424" t="str">
        <f t="shared" si="39"/>
        <v/>
      </c>
      <c r="T87" s="435"/>
      <c r="U87" s="430"/>
      <c r="V87" s="418" t="str">
        <f t="shared" si="31"/>
        <v/>
      </c>
      <c r="W87" s="431"/>
      <c r="X87" s="423"/>
      <c r="Y87" s="418" t="str">
        <f t="shared" si="32"/>
        <v/>
      </c>
      <c r="Z87" s="417"/>
      <c r="AA87" s="59">
        <f t="shared" si="41"/>
        <v>0</v>
      </c>
      <c r="AB87" s="57">
        <f t="shared" si="33"/>
        <v>0</v>
      </c>
      <c r="AC87" s="57"/>
      <c r="AD87" s="58"/>
      <c r="AE87" s="58"/>
      <c r="AG87"/>
    </row>
    <row r="88" spans="2:33">
      <c r="B88" s="131">
        <f t="shared" si="40"/>
        <v>85</v>
      </c>
      <c r="C88" s="738" t="s">
        <v>141</v>
      </c>
      <c r="D88" s="128">
        <f t="shared" si="30"/>
        <v>0</v>
      </c>
      <c r="E88" s="299" t="s">
        <v>5</v>
      </c>
      <c r="F88" s="430"/>
      <c r="G88" s="418" t="str">
        <f t="shared" ref="G88:G95" si="42">IF(F88="","",IF(F88&gt;50,"",51-F88))</f>
        <v/>
      </c>
      <c r="H88" s="431"/>
      <c r="I88" s="423"/>
      <c r="J88" s="418" t="str">
        <f t="shared" ref="J88:J95" si="43">IF(I88="","",IF(I88&gt;50,"",51-I88))</f>
        <v/>
      </c>
      <c r="K88" s="417"/>
      <c r="L88" s="430"/>
      <c r="M88" s="418" t="str">
        <f t="shared" si="37"/>
        <v/>
      </c>
      <c r="N88" s="431"/>
      <c r="O88" s="430"/>
      <c r="P88" s="418" t="str">
        <f t="shared" si="38"/>
        <v/>
      </c>
      <c r="Q88" s="429"/>
      <c r="R88" s="430"/>
      <c r="S88" s="424" t="str">
        <f t="shared" si="39"/>
        <v/>
      </c>
      <c r="T88" s="435"/>
      <c r="U88" s="430"/>
      <c r="V88" s="418" t="str">
        <f t="shared" si="31"/>
        <v/>
      </c>
      <c r="W88" s="431"/>
      <c r="X88" s="423"/>
      <c r="Y88" s="418" t="str">
        <f t="shared" si="32"/>
        <v/>
      </c>
      <c r="Z88" s="417"/>
      <c r="AA88" s="59">
        <f t="shared" si="41"/>
        <v>0</v>
      </c>
      <c r="AB88" s="57">
        <f t="shared" si="33"/>
        <v>0</v>
      </c>
      <c r="AC88" s="57"/>
      <c r="AD88" s="58"/>
      <c r="AE88" s="58"/>
      <c r="AG88"/>
    </row>
    <row r="89" spans="2:33">
      <c r="B89" s="131">
        <f t="shared" si="40"/>
        <v>86</v>
      </c>
      <c r="C89" s="305" t="s">
        <v>78</v>
      </c>
      <c r="D89" s="128">
        <f t="shared" si="30"/>
        <v>0</v>
      </c>
      <c r="E89" s="304" t="s">
        <v>3</v>
      </c>
      <c r="F89" s="430"/>
      <c r="G89" s="418" t="str">
        <f t="shared" si="42"/>
        <v/>
      </c>
      <c r="H89" s="431"/>
      <c r="I89" s="423"/>
      <c r="J89" s="418" t="str">
        <f t="shared" si="43"/>
        <v/>
      </c>
      <c r="K89" s="431"/>
      <c r="L89" s="430"/>
      <c r="M89" s="418" t="str">
        <f t="shared" si="37"/>
        <v/>
      </c>
      <c r="N89" s="431"/>
      <c r="O89" s="430"/>
      <c r="P89" s="418" t="str">
        <f t="shared" si="38"/>
        <v/>
      </c>
      <c r="Q89" s="429"/>
      <c r="R89" s="430"/>
      <c r="S89" s="424" t="str">
        <f t="shared" si="39"/>
        <v/>
      </c>
      <c r="T89" s="435"/>
      <c r="U89" s="430"/>
      <c r="V89" s="418" t="str">
        <f t="shared" si="31"/>
        <v/>
      </c>
      <c r="W89" s="431"/>
      <c r="X89" s="423"/>
      <c r="Y89" s="418" t="str">
        <f t="shared" si="32"/>
        <v/>
      </c>
      <c r="Z89" s="417"/>
      <c r="AA89" s="59">
        <f t="shared" si="41"/>
        <v>0</v>
      </c>
      <c r="AB89" s="57">
        <f t="shared" si="33"/>
        <v>0</v>
      </c>
      <c r="AC89" s="57"/>
      <c r="AD89" s="53"/>
      <c r="AE89" s="53"/>
      <c r="AG89"/>
    </row>
    <row r="90" spans="2:33">
      <c r="B90" s="131">
        <f t="shared" si="40"/>
        <v>87</v>
      </c>
      <c r="C90" s="739" t="s">
        <v>158</v>
      </c>
      <c r="D90" s="128">
        <f t="shared" si="30"/>
        <v>0</v>
      </c>
      <c r="E90" s="304" t="s">
        <v>3</v>
      </c>
      <c r="F90" s="430"/>
      <c r="G90" s="418" t="str">
        <f t="shared" si="42"/>
        <v/>
      </c>
      <c r="H90" s="431"/>
      <c r="I90" s="430"/>
      <c r="J90" s="418" t="str">
        <f t="shared" si="43"/>
        <v/>
      </c>
      <c r="K90" s="417"/>
      <c r="L90" s="430"/>
      <c r="M90" s="418" t="str">
        <f t="shared" si="37"/>
        <v/>
      </c>
      <c r="N90" s="431"/>
      <c r="O90" s="430"/>
      <c r="P90" s="418"/>
      <c r="Q90" s="429"/>
      <c r="R90" s="430"/>
      <c r="S90" s="424" t="str">
        <f t="shared" si="39"/>
        <v/>
      </c>
      <c r="T90" s="435"/>
      <c r="U90" s="430"/>
      <c r="V90" s="418" t="str">
        <f t="shared" si="31"/>
        <v/>
      </c>
      <c r="W90" s="431"/>
      <c r="X90" s="423"/>
      <c r="Y90" s="418" t="str">
        <f t="shared" si="32"/>
        <v/>
      </c>
      <c r="Z90" s="417"/>
      <c r="AA90" s="59">
        <f t="shared" si="41"/>
        <v>0</v>
      </c>
      <c r="AB90" s="57">
        <f t="shared" si="33"/>
        <v>0</v>
      </c>
      <c r="AC90" s="57"/>
      <c r="AD90" s="58"/>
      <c r="AE90" s="58"/>
      <c r="AG90"/>
    </row>
    <row r="91" spans="2:33">
      <c r="B91" s="131">
        <f t="shared" si="40"/>
        <v>88</v>
      </c>
      <c r="C91" s="740" t="s">
        <v>30</v>
      </c>
      <c r="D91" s="128">
        <f t="shared" si="30"/>
        <v>0</v>
      </c>
      <c r="E91" s="304" t="s">
        <v>3</v>
      </c>
      <c r="F91" s="430"/>
      <c r="G91" s="418" t="str">
        <f t="shared" si="42"/>
        <v/>
      </c>
      <c r="H91" s="431"/>
      <c r="I91" s="430"/>
      <c r="J91" s="418" t="str">
        <f t="shared" si="43"/>
        <v/>
      </c>
      <c r="K91" s="417"/>
      <c r="L91" s="430"/>
      <c r="M91" s="418" t="str">
        <f t="shared" si="37"/>
        <v/>
      </c>
      <c r="N91" s="431"/>
      <c r="O91" s="430"/>
      <c r="P91" s="418" t="str">
        <f>IF(O91="","",IF(O91&gt;50,"",51-O91))</f>
        <v/>
      </c>
      <c r="Q91" s="429"/>
      <c r="R91" s="430"/>
      <c r="S91" s="424" t="str">
        <f t="shared" si="39"/>
        <v/>
      </c>
      <c r="T91" s="435"/>
      <c r="U91" s="430"/>
      <c r="V91" s="418" t="str">
        <f t="shared" si="31"/>
        <v/>
      </c>
      <c r="W91" s="431"/>
      <c r="X91" s="430"/>
      <c r="Y91" s="418" t="str">
        <f t="shared" si="32"/>
        <v/>
      </c>
      <c r="Z91" s="431"/>
      <c r="AA91" s="59">
        <f t="shared" si="41"/>
        <v>0</v>
      </c>
      <c r="AB91" s="57">
        <f t="shared" si="33"/>
        <v>0</v>
      </c>
      <c r="AC91" s="57"/>
      <c r="AD91" s="53"/>
      <c r="AE91" s="53"/>
      <c r="AG91"/>
    </row>
    <row r="92" spans="2:33">
      <c r="B92" s="131">
        <f t="shared" si="40"/>
        <v>89</v>
      </c>
      <c r="C92" s="741" t="s">
        <v>41</v>
      </c>
      <c r="D92" s="128">
        <f t="shared" si="30"/>
        <v>0</v>
      </c>
      <c r="E92" s="310" t="s">
        <v>0</v>
      </c>
      <c r="F92" s="430"/>
      <c r="G92" s="418" t="str">
        <f t="shared" si="42"/>
        <v/>
      </c>
      <c r="H92" s="431"/>
      <c r="I92" s="430"/>
      <c r="J92" s="418" t="str">
        <f t="shared" si="43"/>
        <v/>
      </c>
      <c r="K92" s="431"/>
      <c r="L92" s="430"/>
      <c r="M92" s="418" t="str">
        <f t="shared" si="37"/>
        <v/>
      </c>
      <c r="N92" s="431"/>
      <c r="O92" s="430"/>
      <c r="P92" s="418" t="str">
        <f>IF(O92="","",IF(O92&gt;50,"",51-O92))</f>
        <v/>
      </c>
      <c r="Q92" s="429"/>
      <c r="R92" s="430"/>
      <c r="S92" s="424" t="str">
        <f t="shared" si="39"/>
        <v/>
      </c>
      <c r="T92" s="435"/>
      <c r="U92" s="430"/>
      <c r="V92" s="418" t="str">
        <f t="shared" si="31"/>
        <v/>
      </c>
      <c r="W92" s="431"/>
      <c r="X92" s="430"/>
      <c r="Y92" s="418" t="str">
        <f t="shared" si="32"/>
        <v/>
      </c>
      <c r="Z92" s="431"/>
      <c r="AA92" s="59">
        <f t="shared" si="41"/>
        <v>0</v>
      </c>
      <c r="AB92" s="57">
        <f t="shared" si="33"/>
        <v>0</v>
      </c>
      <c r="AC92" s="59"/>
      <c r="AD92" s="53"/>
      <c r="AE92" s="53"/>
    </row>
    <row r="93" spans="2:33">
      <c r="B93" s="131"/>
      <c r="C93" s="138"/>
      <c r="D93" s="128">
        <f t="shared" si="30"/>
        <v>0</v>
      </c>
      <c r="E93" s="135"/>
      <c r="F93" s="430"/>
      <c r="G93" s="418" t="str">
        <f t="shared" si="42"/>
        <v/>
      </c>
      <c r="H93" s="431"/>
      <c r="I93" s="430"/>
      <c r="J93" s="418" t="str">
        <f t="shared" si="43"/>
        <v/>
      </c>
      <c r="K93" s="431"/>
      <c r="L93" s="430"/>
      <c r="M93" s="418" t="str">
        <f t="shared" si="37"/>
        <v/>
      </c>
      <c r="N93" s="431"/>
      <c r="O93" s="430"/>
      <c r="P93" s="418" t="str">
        <f>IF(O93="","",IF(O93&gt;50,"",51-O93))</f>
        <v/>
      </c>
      <c r="Q93" s="429"/>
      <c r="R93" s="430"/>
      <c r="S93" s="424" t="str">
        <f t="shared" si="39"/>
        <v/>
      </c>
      <c r="T93" s="435"/>
      <c r="U93" s="430"/>
      <c r="V93" s="418" t="str">
        <f t="shared" si="31"/>
        <v/>
      </c>
      <c r="W93" s="431"/>
      <c r="X93" s="430"/>
      <c r="Y93" s="418" t="str">
        <f t="shared" si="32"/>
        <v/>
      </c>
      <c r="Z93" s="431"/>
      <c r="AA93" s="59"/>
      <c r="AB93" s="57"/>
      <c r="AC93" s="59"/>
      <c r="AD93" s="53"/>
      <c r="AE93" s="53"/>
    </row>
    <row r="94" spans="2:33">
      <c r="B94" s="131"/>
      <c r="C94" s="137"/>
      <c r="D94" s="128">
        <f t="shared" si="30"/>
        <v>0</v>
      </c>
      <c r="E94" s="134"/>
      <c r="F94" s="430"/>
      <c r="G94" s="418" t="str">
        <f t="shared" si="42"/>
        <v/>
      </c>
      <c r="H94" s="431"/>
      <c r="I94" s="430"/>
      <c r="J94" s="418" t="str">
        <f t="shared" si="43"/>
        <v/>
      </c>
      <c r="K94" s="431"/>
      <c r="L94" s="430"/>
      <c r="M94" s="418" t="str">
        <f t="shared" si="37"/>
        <v/>
      </c>
      <c r="N94" s="431"/>
      <c r="O94" s="430"/>
      <c r="P94" s="418" t="str">
        <f>IF(O94="","",IF(O94&gt;50,"",51-O94))</f>
        <v/>
      </c>
      <c r="Q94" s="429"/>
      <c r="R94" s="430"/>
      <c r="S94" s="424" t="str">
        <f t="shared" si="39"/>
        <v/>
      </c>
      <c r="T94" s="435"/>
      <c r="U94" s="430"/>
      <c r="V94" s="418" t="str">
        <f t="shared" si="31"/>
        <v/>
      </c>
      <c r="W94" s="431"/>
      <c r="X94" s="430"/>
      <c r="Y94" s="418" t="str">
        <f t="shared" si="32"/>
        <v/>
      </c>
      <c r="Z94" s="431"/>
      <c r="AA94" s="59"/>
      <c r="AB94" s="57"/>
      <c r="AC94" s="59"/>
      <c r="AD94" s="53"/>
      <c r="AE94" s="53"/>
    </row>
    <row r="95" spans="2:33" ht="13.5" thickBot="1">
      <c r="B95" s="139"/>
      <c r="C95" s="140"/>
      <c r="D95" s="141">
        <f t="shared" si="30"/>
        <v>0</v>
      </c>
      <c r="E95" s="142"/>
      <c r="F95" s="436"/>
      <c r="G95" s="437" t="str">
        <f t="shared" si="42"/>
        <v/>
      </c>
      <c r="H95" s="438"/>
      <c r="I95" s="436"/>
      <c r="J95" s="437" t="str">
        <f t="shared" si="43"/>
        <v/>
      </c>
      <c r="K95" s="438"/>
      <c r="L95" s="436"/>
      <c r="M95" s="437" t="str">
        <f t="shared" si="37"/>
        <v/>
      </c>
      <c r="N95" s="438"/>
      <c r="O95" s="436"/>
      <c r="P95" s="437" t="str">
        <f>IF(O95="","",IF(O95&gt;50,"",51-O95))</f>
        <v/>
      </c>
      <c r="Q95" s="439"/>
      <c r="R95" s="436"/>
      <c r="S95" s="437" t="str">
        <f t="shared" si="39"/>
        <v/>
      </c>
      <c r="T95" s="454"/>
      <c r="U95" s="436"/>
      <c r="V95" s="437" t="str">
        <f t="shared" si="31"/>
        <v/>
      </c>
      <c r="W95" s="438"/>
      <c r="X95" s="436"/>
      <c r="Y95" s="437" t="str">
        <f t="shared" si="32"/>
        <v/>
      </c>
      <c r="Z95" s="438"/>
      <c r="AA95" s="60"/>
      <c r="AB95" s="60"/>
      <c r="AC95" s="60"/>
      <c r="AD95" s="61"/>
      <c r="AE95" s="61"/>
    </row>
    <row r="96" spans="2:33">
      <c r="F96" s="41"/>
      <c r="G96" s="41"/>
      <c r="H96" s="7"/>
      <c r="I96" s="41"/>
      <c r="J96" s="41"/>
      <c r="K96" s="42"/>
      <c r="L96" s="41"/>
      <c r="M96" s="41"/>
      <c r="N96" s="42"/>
      <c r="O96" s="41"/>
      <c r="P96" s="41"/>
      <c r="Q96" s="42"/>
      <c r="R96" s="41"/>
      <c r="S96" s="41"/>
      <c r="T96" s="42"/>
      <c r="U96" s="41"/>
      <c r="V96" s="41"/>
      <c r="W96" s="42"/>
      <c r="X96" s="41"/>
      <c r="Y96" s="41"/>
      <c r="AA96" s="1"/>
      <c r="AB96" s="1"/>
      <c r="AC96" s="1"/>
      <c r="AD96" s="1"/>
    </row>
    <row r="97" spans="6:30">
      <c r="F97" s="41"/>
      <c r="G97" s="41"/>
      <c r="H97" s="7"/>
      <c r="I97" s="41"/>
      <c r="J97" s="41"/>
      <c r="K97" s="42"/>
      <c r="L97" s="41"/>
      <c r="M97" s="41"/>
      <c r="N97" s="42"/>
      <c r="O97" s="41"/>
      <c r="P97" s="41"/>
      <c r="Q97" s="42"/>
      <c r="R97" s="41"/>
      <c r="S97" s="41"/>
      <c r="T97" s="42"/>
      <c r="U97" s="41"/>
      <c r="V97" s="41"/>
      <c r="W97" s="42"/>
      <c r="X97" s="41"/>
      <c r="Y97" s="41"/>
      <c r="AA97" s="1"/>
      <c r="AB97" s="1"/>
      <c r="AC97" s="1"/>
      <c r="AD97" s="1"/>
    </row>
    <row r="98" spans="6:30">
      <c r="F98" s="41"/>
      <c r="G98" s="41"/>
      <c r="H98" s="7"/>
      <c r="I98" s="41"/>
      <c r="J98" s="41"/>
      <c r="K98" s="42"/>
      <c r="L98" s="41"/>
      <c r="M98" s="41"/>
      <c r="N98" s="42"/>
      <c r="O98" s="41"/>
      <c r="P98" s="41"/>
      <c r="Q98" s="42"/>
      <c r="R98" s="41"/>
      <c r="S98" s="41"/>
      <c r="T98" s="42"/>
      <c r="U98" s="41"/>
      <c r="V98" s="41"/>
      <c r="W98" s="42"/>
      <c r="X98" s="41"/>
      <c r="Y98" s="41"/>
      <c r="AA98" s="1"/>
      <c r="AB98" s="1"/>
      <c r="AC98" s="1"/>
      <c r="AD98" s="1"/>
    </row>
    <row r="99" spans="6:30">
      <c r="F99" s="41"/>
      <c r="G99" s="41"/>
      <c r="H99" s="7"/>
      <c r="I99" s="41"/>
      <c r="J99" s="41"/>
      <c r="K99" s="42"/>
      <c r="L99" s="41"/>
      <c r="M99" s="41"/>
      <c r="N99" s="42"/>
      <c r="O99" s="41"/>
      <c r="P99" s="41"/>
      <c r="Q99" s="42"/>
      <c r="R99" s="41"/>
      <c r="S99" s="41"/>
      <c r="T99" s="42"/>
      <c r="U99" s="41"/>
      <c r="V99" s="41"/>
      <c r="W99" s="42"/>
      <c r="X99" s="41"/>
      <c r="Y99" s="41"/>
      <c r="AA99" s="1"/>
      <c r="AB99" s="1"/>
      <c r="AC99" s="1"/>
      <c r="AD99" s="1"/>
    </row>
    <row r="100" spans="6:30">
      <c r="F100" s="41"/>
      <c r="G100" s="41"/>
      <c r="H100" s="7"/>
      <c r="I100" s="41"/>
      <c r="J100" s="41"/>
      <c r="K100" s="42"/>
      <c r="L100" s="41"/>
      <c r="M100" s="41"/>
      <c r="N100" s="42"/>
      <c r="O100" s="41"/>
      <c r="P100" s="41"/>
      <c r="Q100" s="42"/>
      <c r="R100" s="41"/>
      <c r="S100" s="41"/>
      <c r="T100" s="42"/>
      <c r="U100" s="41"/>
      <c r="V100" s="41"/>
      <c r="W100" s="42"/>
      <c r="X100" s="41"/>
      <c r="Y100" s="41"/>
      <c r="AA100" s="1"/>
      <c r="AB100" s="1"/>
      <c r="AC100" s="1"/>
      <c r="AD100" s="1"/>
    </row>
    <row r="101" spans="6:30">
      <c r="F101" s="41"/>
      <c r="G101" s="41"/>
      <c r="H101" s="7"/>
      <c r="I101" s="41"/>
      <c r="J101" s="41"/>
      <c r="K101" s="42"/>
      <c r="L101" s="41"/>
      <c r="M101" s="41"/>
      <c r="N101" s="42"/>
      <c r="O101" s="41"/>
      <c r="P101" s="41"/>
      <c r="Q101" s="42"/>
      <c r="R101" s="41"/>
      <c r="S101" s="41"/>
      <c r="T101" s="42"/>
      <c r="U101" s="41"/>
      <c r="V101" s="41"/>
      <c r="W101" s="42"/>
      <c r="X101" s="41"/>
      <c r="Y101" s="41"/>
      <c r="AA101" s="1"/>
      <c r="AB101" s="1"/>
      <c r="AC101" s="1"/>
      <c r="AD101" s="1"/>
    </row>
    <row r="102" spans="6:30">
      <c r="F102" s="41"/>
      <c r="G102" s="41"/>
      <c r="H102" s="7"/>
      <c r="I102" s="41"/>
      <c r="J102" s="41"/>
      <c r="K102" s="42"/>
      <c r="L102" s="41"/>
      <c r="M102" s="41"/>
      <c r="N102" s="42"/>
      <c r="O102" s="41"/>
      <c r="P102" s="41"/>
      <c r="Q102" s="42"/>
      <c r="R102" s="41"/>
      <c r="S102" s="41"/>
      <c r="T102" s="42"/>
      <c r="U102" s="41"/>
      <c r="V102" s="41"/>
      <c r="W102" s="42"/>
      <c r="X102" s="41"/>
      <c r="Y102" s="41"/>
      <c r="AA102" s="1"/>
      <c r="AB102" s="1"/>
      <c r="AC102" s="1"/>
      <c r="AD102" s="1"/>
    </row>
    <row r="103" spans="6:30">
      <c r="F103" s="41"/>
      <c r="G103" s="41"/>
      <c r="H103" s="7"/>
      <c r="I103" s="41"/>
      <c r="J103" s="41"/>
      <c r="K103" s="42"/>
      <c r="L103" s="41"/>
      <c r="M103" s="41"/>
      <c r="N103" s="42"/>
      <c r="O103" s="41"/>
      <c r="P103" s="41"/>
      <c r="Q103" s="42"/>
      <c r="R103" s="41"/>
      <c r="S103" s="41"/>
      <c r="T103" s="42"/>
      <c r="U103" s="41"/>
      <c r="V103" s="41"/>
      <c r="W103" s="42"/>
      <c r="X103" s="41"/>
      <c r="Y103" s="41"/>
      <c r="AA103" s="1"/>
      <c r="AB103" s="1"/>
      <c r="AC103" s="1"/>
      <c r="AD103" s="1"/>
    </row>
    <row r="104" spans="6:30">
      <c r="F104" s="41"/>
      <c r="G104" s="41"/>
      <c r="H104" s="7"/>
      <c r="I104" s="41"/>
      <c r="J104" s="41"/>
      <c r="K104" s="42"/>
      <c r="L104" s="41"/>
      <c r="M104" s="41"/>
      <c r="N104" s="42"/>
      <c r="O104" s="41"/>
      <c r="P104" s="41"/>
      <c r="Q104" s="42"/>
      <c r="R104" s="41"/>
      <c r="S104" s="41"/>
      <c r="T104" s="42"/>
      <c r="U104" s="41"/>
      <c r="V104" s="41"/>
      <c r="W104" s="42"/>
      <c r="X104" s="41"/>
      <c r="Y104" s="41"/>
      <c r="AA104" s="1"/>
      <c r="AB104" s="1"/>
      <c r="AC104" s="1"/>
      <c r="AD104" s="1"/>
    </row>
    <row r="105" spans="6:30">
      <c r="F105" s="41"/>
      <c r="G105" s="41"/>
      <c r="H105" s="7"/>
      <c r="I105" s="41"/>
      <c r="J105" s="41"/>
      <c r="K105" s="42"/>
      <c r="L105" s="41"/>
      <c r="M105" s="41"/>
      <c r="N105" s="42"/>
      <c r="O105" s="41"/>
      <c r="P105" s="41"/>
      <c r="Q105" s="42"/>
      <c r="R105" s="41"/>
      <c r="S105" s="41"/>
      <c r="T105" s="42"/>
      <c r="U105" s="41"/>
      <c r="V105" s="41"/>
      <c r="W105" s="42"/>
      <c r="X105" s="41"/>
      <c r="Y105" s="41"/>
      <c r="AA105" s="1"/>
      <c r="AB105" s="1"/>
      <c r="AC105" s="1"/>
      <c r="AD105" s="1"/>
    </row>
    <row r="106" spans="6:30">
      <c r="F106" s="41"/>
      <c r="G106" s="41"/>
      <c r="H106" s="7"/>
      <c r="I106" s="41"/>
      <c r="J106" s="41"/>
      <c r="K106" s="42"/>
      <c r="L106" s="41"/>
      <c r="M106" s="41"/>
      <c r="N106" s="42"/>
      <c r="O106" s="41"/>
      <c r="P106" s="41"/>
      <c r="Q106" s="42"/>
      <c r="R106" s="41"/>
      <c r="S106" s="41"/>
      <c r="T106" s="42"/>
      <c r="U106" s="41"/>
      <c r="V106" s="41"/>
      <c r="W106" s="42"/>
      <c r="X106" s="41"/>
      <c r="Y106" s="41"/>
      <c r="AA106" s="1"/>
      <c r="AB106" s="1"/>
      <c r="AC106" s="1"/>
      <c r="AD106" s="1"/>
    </row>
    <row r="107" spans="6:30">
      <c r="F107" s="41"/>
      <c r="G107" s="41"/>
      <c r="H107" s="7"/>
      <c r="I107" s="41"/>
      <c r="J107" s="41"/>
      <c r="K107" s="42"/>
      <c r="L107" s="41"/>
      <c r="M107" s="41"/>
      <c r="N107" s="42"/>
      <c r="O107" s="41"/>
      <c r="P107" s="41"/>
      <c r="Q107" s="42"/>
      <c r="R107" s="41"/>
      <c r="S107" s="41"/>
      <c r="T107" s="42"/>
      <c r="U107" s="41"/>
      <c r="V107" s="41"/>
      <c r="W107" s="42"/>
      <c r="X107" s="41"/>
      <c r="Y107" s="41"/>
      <c r="AA107" s="1"/>
      <c r="AB107" s="1"/>
      <c r="AC107" s="1"/>
      <c r="AD107" s="1"/>
    </row>
    <row r="108" spans="6:30">
      <c r="F108" s="41"/>
      <c r="G108" s="41"/>
      <c r="H108" s="7"/>
      <c r="I108" s="41"/>
      <c r="J108" s="41"/>
      <c r="K108" s="42"/>
      <c r="L108" s="41"/>
      <c r="M108" s="41"/>
      <c r="N108" s="42"/>
      <c r="O108" s="41"/>
      <c r="P108" s="41"/>
      <c r="Q108" s="42"/>
      <c r="R108" s="41"/>
      <c r="S108" s="41"/>
      <c r="T108" s="42"/>
      <c r="U108" s="41"/>
      <c r="V108" s="41"/>
      <c r="W108" s="42"/>
      <c r="X108" s="41"/>
      <c r="Y108" s="41"/>
      <c r="AA108" s="1"/>
      <c r="AB108" s="1"/>
      <c r="AC108" s="1"/>
      <c r="AD108" s="1"/>
    </row>
    <row r="109" spans="6:30">
      <c r="F109" s="41"/>
      <c r="G109" s="41"/>
      <c r="H109" s="7"/>
      <c r="I109" s="41"/>
      <c r="J109" s="41"/>
      <c r="K109" s="42"/>
      <c r="L109" s="41"/>
      <c r="M109" s="41"/>
      <c r="N109" s="42"/>
      <c r="O109" s="41"/>
      <c r="P109" s="41"/>
      <c r="Q109" s="42"/>
      <c r="R109" s="41"/>
      <c r="S109" s="41"/>
      <c r="T109" s="42"/>
      <c r="U109" s="41"/>
      <c r="V109" s="41"/>
      <c r="W109" s="42"/>
      <c r="X109" s="41"/>
      <c r="Y109" s="41"/>
      <c r="AA109" s="1"/>
      <c r="AB109" s="1"/>
      <c r="AC109" s="1"/>
      <c r="AD109" s="1"/>
    </row>
    <row r="110" spans="6:30">
      <c r="F110" s="41"/>
      <c r="G110" s="41"/>
      <c r="H110" s="7"/>
      <c r="I110" s="41"/>
      <c r="J110" s="41"/>
      <c r="K110" s="42"/>
      <c r="L110" s="41"/>
      <c r="M110" s="41"/>
      <c r="N110" s="42"/>
      <c r="O110" s="41"/>
      <c r="P110" s="41"/>
      <c r="Q110" s="42"/>
      <c r="R110" s="41"/>
      <c r="S110" s="41"/>
      <c r="T110" s="42"/>
      <c r="U110" s="41"/>
      <c r="V110" s="41"/>
      <c r="W110" s="42"/>
      <c r="X110" s="41"/>
      <c r="Y110" s="41"/>
      <c r="AA110" s="1"/>
      <c r="AB110" s="1"/>
      <c r="AC110" s="1"/>
      <c r="AD110" s="1"/>
    </row>
    <row r="111" spans="6:30">
      <c r="F111" s="41"/>
      <c r="G111" s="41"/>
      <c r="H111" s="7"/>
      <c r="I111" s="41"/>
      <c r="J111" s="41"/>
      <c r="K111" s="42"/>
      <c r="L111" s="41"/>
      <c r="M111" s="41"/>
      <c r="N111" s="42"/>
      <c r="O111" s="41"/>
      <c r="P111" s="41"/>
      <c r="Q111" s="42"/>
      <c r="R111" s="41"/>
      <c r="S111" s="41"/>
      <c r="T111" s="42"/>
      <c r="U111" s="41"/>
      <c r="V111" s="41"/>
      <c r="W111" s="42"/>
      <c r="X111" s="41"/>
      <c r="Y111" s="41"/>
      <c r="AA111" s="1"/>
      <c r="AB111" s="1"/>
      <c r="AC111" s="1"/>
      <c r="AD111" s="1"/>
    </row>
    <row r="112" spans="6:30">
      <c r="F112" s="41"/>
      <c r="G112" s="41"/>
      <c r="H112" s="7"/>
      <c r="I112" s="41"/>
      <c r="J112" s="41"/>
      <c r="K112" s="42"/>
      <c r="L112" s="41"/>
      <c r="M112" s="41"/>
      <c r="N112" s="42"/>
      <c r="O112" s="41"/>
      <c r="P112" s="41"/>
      <c r="Q112" s="42"/>
      <c r="R112" s="41"/>
      <c r="S112" s="41"/>
      <c r="T112" s="42"/>
      <c r="U112" s="41"/>
      <c r="V112" s="41"/>
      <c r="W112" s="42"/>
      <c r="X112" s="41"/>
      <c r="Y112" s="41"/>
      <c r="AA112" s="1"/>
      <c r="AB112" s="1"/>
      <c r="AC112" s="1"/>
      <c r="AD112" s="1"/>
    </row>
    <row r="113" spans="6:30">
      <c r="F113" s="41"/>
      <c r="G113" s="41"/>
      <c r="H113" s="7"/>
      <c r="I113" s="41"/>
      <c r="J113" s="41"/>
      <c r="K113" s="42"/>
      <c r="L113" s="41"/>
      <c r="M113" s="41"/>
      <c r="N113" s="42"/>
      <c r="O113" s="41"/>
      <c r="P113" s="41"/>
      <c r="Q113" s="42"/>
      <c r="R113" s="41"/>
      <c r="S113" s="41"/>
      <c r="T113" s="42"/>
      <c r="U113" s="41"/>
      <c r="V113" s="41"/>
      <c r="W113" s="42"/>
      <c r="X113" s="41"/>
      <c r="Y113" s="41"/>
      <c r="AA113" s="1"/>
      <c r="AB113" s="1"/>
      <c r="AC113" s="1"/>
      <c r="AD113" s="1"/>
    </row>
    <row r="114" spans="6:30">
      <c r="F114" s="41"/>
      <c r="G114" s="41"/>
      <c r="H114" s="7"/>
      <c r="I114" s="41"/>
      <c r="J114" s="41"/>
      <c r="K114" s="42"/>
      <c r="L114" s="41"/>
      <c r="M114" s="41"/>
      <c r="N114" s="42"/>
      <c r="O114" s="41"/>
      <c r="P114" s="41"/>
      <c r="Q114" s="42"/>
      <c r="R114" s="41"/>
      <c r="S114" s="41"/>
      <c r="T114" s="42"/>
      <c r="U114" s="41"/>
      <c r="V114" s="41"/>
      <c r="W114" s="42"/>
      <c r="X114" s="41"/>
      <c r="Y114" s="41"/>
      <c r="AA114" s="1"/>
      <c r="AB114" s="1"/>
      <c r="AC114" s="1"/>
      <c r="AD114" s="1"/>
    </row>
    <row r="115" spans="6:30">
      <c r="F115" s="41"/>
      <c r="G115" s="41"/>
      <c r="H115" s="7"/>
      <c r="I115" s="41"/>
      <c r="J115" s="41"/>
      <c r="K115" s="42"/>
      <c r="L115" s="41"/>
      <c r="M115" s="41"/>
      <c r="N115" s="42"/>
      <c r="O115" s="41"/>
      <c r="P115" s="41"/>
      <c r="Q115" s="42"/>
      <c r="R115" s="41"/>
      <c r="S115" s="41"/>
      <c r="T115" s="42"/>
      <c r="U115" s="41"/>
      <c r="V115" s="41"/>
      <c r="W115" s="42"/>
      <c r="X115" s="41"/>
      <c r="Y115" s="41"/>
      <c r="AA115" s="1"/>
      <c r="AB115" s="1"/>
      <c r="AC115" s="1"/>
      <c r="AD115" s="1"/>
    </row>
    <row r="116" spans="6:30">
      <c r="F116" s="41"/>
      <c r="G116" s="41"/>
      <c r="H116" s="7"/>
      <c r="I116" s="41"/>
      <c r="J116" s="41"/>
      <c r="K116" s="42"/>
      <c r="L116" s="41"/>
      <c r="M116" s="41"/>
      <c r="N116" s="42"/>
      <c r="O116" s="41"/>
      <c r="P116" s="41"/>
      <c r="Q116" s="42"/>
      <c r="R116" s="41"/>
      <c r="S116" s="41"/>
      <c r="T116" s="42"/>
      <c r="U116" s="41"/>
      <c r="V116" s="41"/>
      <c r="W116" s="42"/>
      <c r="X116" s="41"/>
      <c r="Y116" s="41"/>
      <c r="AA116" s="1"/>
      <c r="AB116" s="1"/>
      <c r="AC116" s="1"/>
      <c r="AD116" s="1"/>
    </row>
    <row r="117" spans="6:30">
      <c r="F117" s="41"/>
      <c r="G117" s="41"/>
      <c r="H117" s="7"/>
      <c r="I117" s="41"/>
      <c r="J117" s="41"/>
      <c r="K117" s="42"/>
      <c r="L117" s="41"/>
      <c r="M117" s="41"/>
      <c r="N117" s="42"/>
      <c r="O117" s="41"/>
      <c r="P117" s="41"/>
      <c r="Q117" s="42"/>
      <c r="R117" s="41"/>
      <c r="S117" s="41"/>
      <c r="T117" s="42"/>
      <c r="U117" s="41"/>
      <c r="V117" s="41"/>
      <c r="W117" s="42"/>
      <c r="X117" s="41"/>
      <c r="Y117" s="41"/>
      <c r="AA117" s="1"/>
      <c r="AB117" s="1"/>
      <c r="AC117" s="1"/>
      <c r="AD117" s="1"/>
    </row>
    <row r="118" spans="6:30">
      <c r="F118" s="41"/>
      <c r="G118" s="41"/>
      <c r="H118" s="7"/>
      <c r="I118" s="41"/>
      <c r="J118" s="41"/>
      <c r="K118" s="42"/>
      <c r="L118" s="41"/>
      <c r="M118" s="41"/>
      <c r="N118" s="42"/>
      <c r="O118" s="41"/>
      <c r="P118" s="41"/>
      <c r="Q118" s="42"/>
      <c r="R118" s="41"/>
      <c r="S118" s="41"/>
      <c r="T118" s="42"/>
      <c r="U118" s="41"/>
      <c r="V118" s="41"/>
      <c r="W118" s="42"/>
      <c r="X118" s="41"/>
      <c r="Y118" s="41"/>
      <c r="AA118" s="1"/>
      <c r="AB118" s="1"/>
      <c r="AC118" s="1"/>
      <c r="AD118" s="1"/>
    </row>
    <row r="119" spans="6:30">
      <c r="F119" s="41"/>
      <c r="G119" s="41"/>
      <c r="H119" s="7"/>
      <c r="I119" s="41"/>
      <c r="J119" s="41"/>
      <c r="K119" s="42"/>
      <c r="L119" s="41"/>
      <c r="M119" s="41"/>
      <c r="N119" s="42"/>
      <c r="O119" s="41"/>
      <c r="P119" s="41"/>
      <c r="Q119" s="42"/>
      <c r="R119" s="41"/>
      <c r="S119" s="41"/>
      <c r="T119" s="42"/>
      <c r="U119" s="41"/>
      <c r="V119" s="41"/>
      <c r="W119" s="42"/>
      <c r="X119" s="41"/>
      <c r="Y119" s="41"/>
      <c r="AA119" s="1"/>
      <c r="AB119" s="1"/>
      <c r="AC119" s="1"/>
      <c r="AD119" s="1"/>
    </row>
    <row r="120" spans="6:30">
      <c r="F120" s="41"/>
      <c r="G120" s="41"/>
      <c r="H120" s="7"/>
      <c r="I120" s="41"/>
      <c r="J120" s="41"/>
      <c r="K120" s="42"/>
      <c r="L120" s="41"/>
      <c r="M120" s="41"/>
      <c r="N120" s="42"/>
      <c r="O120" s="41"/>
      <c r="P120" s="41"/>
      <c r="Q120" s="42"/>
      <c r="R120" s="41"/>
      <c r="S120" s="41"/>
      <c r="T120" s="42"/>
      <c r="U120" s="41"/>
      <c r="V120" s="41"/>
      <c r="W120" s="42"/>
      <c r="X120" s="41"/>
      <c r="Y120" s="41"/>
      <c r="AA120" s="1"/>
      <c r="AB120" s="1"/>
      <c r="AC120" s="1"/>
      <c r="AD120" s="1"/>
    </row>
    <row r="121" spans="6:30">
      <c r="F121" s="41"/>
      <c r="G121" s="41"/>
      <c r="H121" s="7"/>
      <c r="I121" s="41"/>
      <c r="J121" s="41"/>
      <c r="K121" s="42"/>
      <c r="L121" s="41"/>
      <c r="M121" s="41"/>
      <c r="N121" s="42"/>
      <c r="O121" s="41"/>
      <c r="P121" s="41"/>
      <c r="Q121" s="42"/>
      <c r="R121" s="41"/>
      <c r="S121" s="41"/>
      <c r="T121" s="42"/>
      <c r="U121" s="41"/>
      <c r="V121" s="41"/>
      <c r="W121" s="42"/>
      <c r="X121" s="41"/>
      <c r="Y121" s="41"/>
      <c r="AA121" s="1"/>
      <c r="AB121" s="1"/>
      <c r="AC121" s="1"/>
      <c r="AD121" s="1"/>
    </row>
    <row r="122" spans="6:30">
      <c r="F122" s="41"/>
      <c r="G122" s="41"/>
      <c r="H122" s="7"/>
      <c r="I122" s="41"/>
      <c r="J122" s="41"/>
      <c r="K122" s="42"/>
      <c r="L122" s="41"/>
      <c r="M122" s="41"/>
      <c r="N122" s="42"/>
      <c r="O122" s="41"/>
      <c r="P122" s="41"/>
      <c r="Q122" s="42"/>
      <c r="R122" s="41"/>
      <c r="S122" s="41"/>
      <c r="T122" s="42"/>
      <c r="U122" s="41"/>
      <c r="V122" s="41"/>
      <c r="W122" s="42"/>
      <c r="X122" s="41"/>
      <c r="Y122" s="41"/>
      <c r="AA122" s="1"/>
      <c r="AB122" s="1"/>
      <c r="AC122" s="1"/>
      <c r="AD122" s="1"/>
    </row>
    <row r="123" spans="6:30">
      <c r="F123" s="41"/>
      <c r="G123" s="41"/>
      <c r="H123" s="7"/>
      <c r="I123" s="41"/>
      <c r="J123" s="41"/>
      <c r="K123" s="42"/>
      <c r="L123" s="41"/>
      <c r="M123" s="41"/>
      <c r="N123" s="42"/>
      <c r="O123" s="41"/>
      <c r="P123" s="41"/>
      <c r="Q123" s="42"/>
      <c r="R123" s="41"/>
      <c r="S123" s="41"/>
      <c r="T123" s="42"/>
      <c r="U123" s="41"/>
      <c r="V123" s="41"/>
      <c r="W123" s="42"/>
      <c r="X123" s="41"/>
      <c r="Y123" s="41"/>
      <c r="AA123" s="1"/>
      <c r="AB123" s="1"/>
      <c r="AC123" s="1"/>
      <c r="AD123" s="1"/>
    </row>
    <row r="124" spans="6:30">
      <c r="F124" s="41"/>
      <c r="G124" s="41"/>
      <c r="H124" s="7"/>
      <c r="I124" s="41"/>
      <c r="J124" s="41"/>
      <c r="K124" s="42"/>
      <c r="L124" s="41"/>
      <c r="M124" s="41"/>
      <c r="N124" s="42"/>
      <c r="O124" s="41"/>
      <c r="P124" s="41"/>
      <c r="Q124" s="42"/>
      <c r="R124" s="41"/>
      <c r="S124" s="41"/>
      <c r="T124" s="42"/>
      <c r="U124" s="41"/>
      <c r="V124" s="41"/>
      <c r="W124" s="42"/>
      <c r="X124" s="41"/>
      <c r="Y124" s="41"/>
      <c r="AA124" s="1"/>
      <c r="AB124" s="1"/>
      <c r="AC124" s="1"/>
      <c r="AD124" s="1"/>
    </row>
    <row r="125" spans="6:30">
      <c r="F125" s="41"/>
      <c r="G125" s="41"/>
      <c r="H125" s="7"/>
      <c r="I125" s="41"/>
      <c r="J125" s="41"/>
      <c r="K125" s="42"/>
      <c r="L125" s="41"/>
      <c r="M125" s="41"/>
      <c r="N125" s="42"/>
      <c r="O125" s="41"/>
      <c r="P125" s="41"/>
      <c r="Q125" s="42"/>
      <c r="R125" s="41"/>
      <c r="S125" s="41"/>
      <c r="T125" s="42"/>
      <c r="U125" s="41"/>
      <c r="V125" s="41"/>
      <c r="W125" s="42"/>
      <c r="X125" s="41"/>
      <c r="Y125" s="41"/>
      <c r="AA125" s="1"/>
      <c r="AB125" s="1"/>
      <c r="AC125" s="1"/>
      <c r="AD125" s="1"/>
    </row>
    <row r="126" spans="6:30">
      <c r="F126" s="41"/>
      <c r="G126" s="41"/>
      <c r="H126" s="7"/>
      <c r="I126" s="41"/>
      <c r="J126" s="41"/>
      <c r="K126" s="42"/>
      <c r="L126" s="41"/>
      <c r="M126" s="41"/>
      <c r="N126" s="42"/>
      <c r="O126" s="41"/>
      <c r="P126" s="41"/>
      <c r="Q126" s="42"/>
      <c r="R126" s="41"/>
      <c r="S126" s="41"/>
      <c r="T126" s="42"/>
      <c r="U126" s="41"/>
      <c r="V126" s="41"/>
      <c r="W126" s="42"/>
      <c r="X126" s="41"/>
      <c r="Y126" s="41"/>
      <c r="AA126" s="1"/>
      <c r="AB126" s="1"/>
      <c r="AC126" s="1"/>
      <c r="AD126" s="1"/>
    </row>
    <row r="127" spans="6:30">
      <c r="F127" s="41"/>
      <c r="G127" s="41"/>
      <c r="H127" s="7"/>
      <c r="I127" s="41"/>
      <c r="J127" s="41"/>
      <c r="K127" s="42"/>
      <c r="L127" s="41"/>
      <c r="M127" s="41"/>
      <c r="N127" s="42"/>
      <c r="O127" s="41"/>
      <c r="P127" s="41"/>
      <c r="Q127" s="42"/>
      <c r="R127" s="41"/>
      <c r="S127" s="41"/>
      <c r="T127" s="42"/>
      <c r="U127" s="41"/>
      <c r="V127" s="41"/>
      <c r="W127" s="42"/>
      <c r="X127" s="41"/>
      <c r="Y127" s="41"/>
      <c r="AA127" s="1"/>
      <c r="AB127" s="1"/>
      <c r="AC127" s="1"/>
      <c r="AD127" s="1"/>
    </row>
    <row r="128" spans="6:30">
      <c r="F128" s="41"/>
      <c r="G128" s="41"/>
      <c r="H128" s="7"/>
      <c r="I128" s="41"/>
      <c r="J128" s="41"/>
      <c r="K128" s="42"/>
      <c r="L128" s="41"/>
      <c r="M128" s="41"/>
      <c r="N128" s="42"/>
      <c r="O128" s="41"/>
      <c r="P128" s="41"/>
      <c r="Q128" s="42"/>
      <c r="R128" s="41"/>
      <c r="S128" s="41"/>
      <c r="T128" s="42"/>
      <c r="U128" s="41"/>
      <c r="V128" s="41"/>
      <c r="W128" s="42"/>
      <c r="X128" s="41"/>
      <c r="Y128" s="41"/>
      <c r="AA128" s="1"/>
      <c r="AB128" s="1"/>
      <c r="AC128" s="1"/>
      <c r="AD128" s="1"/>
    </row>
    <row r="129" spans="6:30">
      <c r="F129" s="41"/>
      <c r="G129" s="41"/>
      <c r="H129" s="7"/>
      <c r="I129" s="41"/>
      <c r="J129" s="41"/>
      <c r="K129" s="42"/>
      <c r="L129" s="41"/>
      <c r="M129" s="41"/>
      <c r="N129" s="42"/>
      <c r="O129" s="41"/>
      <c r="P129" s="41"/>
      <c r="Q129" s="42"/>
      <c r="R129" s="41"/>
      <c r="S129" s="41"/>
      <c r="T129" s="42"/>
      <c r="U129" s="41"/>
      <c r="V129" s="41"/>
      <c r="W129" s="42"/>
      <c r="X129" s="41"/>
      <c r="Y129" s="41"/>
      <c r="AA129" s="1"/>
      <c r="AB129" s="1"/>
      <c r="AC129" s="1"/>
      <c r="AD129" s="1"/>
    </row>
    <row r="130" spans="6:30">
      <c r="F130" s="41"/>
      <c r="G130" s="41"/>
      <c r="H130" s="7"/>
      <c r="I130" s="41"/>
      <c r="J130" s="41"/>
      <c r="K130" s="42"/>
      <c r="L130" s="41"/>
      <c r="M130" s="41"/>
      <c r="N130" s="42"/>
      <c r="O130" s="41"/>
      <c r="P130" s="41"/>
      <c r="Q130" s="42"/>
      <c r="R130" s="41"/>
      <c r="S130" s="41"/>
      <c r="T130" s="42"/>
      <c r="U130" s="41"/>
      <c r="V130" s="41"/>
      <c r="W130" s="42"/>
      <c r="X130" s="41"/>
      <c r="Y130" s="41"/>
      <c r="AA130" s="1"/>
      <c r="AB130" s="1"/>
      <c r="AC130" s="1"/>
      <c r="AD130" s="1"/>
    </row>
    <row r="131" spans="6:30">
      <c r="F131" s="41"/>
      <c r="G131" s="41"/>
      <c r="H131" s="7"/>
      <c r="I131" s="41"/>
      <c r="J131" s="41"/>
      <c r="K131" s="42"/>
      <c r="L131" s="41"/>
      <c r="M131" s="41"/>
      <c r="N131" s="42"/>
      <c r="O131" s="41"/>
      <c r="P131" s="41"/>
      <c r="Q131" s="42"/>
      <c r="R131" s="41"/>
      <c r="S131" s="41"/>
      <c r="T131" s="42"/>
      <c r="U131" s="41"/>
      <c r="V131" s="41"/>
      <c r="W131" s="42"/>
      <c r="X131" s="41"/>
      <c r="Y131" s="41"/>
      <c r="AA131" s="1"/>
      <c r="AB131" s="1"/>
      <c r="AC131" s="1"/>
      <c r="AD131" s="1"/>
    </row>
    <row r="132" spans="6:30">
      <c r="H132" s="1"/>
      <c r="AA132" s="1"/>
      <c r="AB132" s="1"/>
      <c r="AC132" s="1"/>
      <c r="AD132" s="1"/>
    </row>
    <row r="133" spans="6:30">
      <c r="H133" s="1"/>
      <c r="AA133" s="1"/>
      <c r="AB133" s="1"/>
      <c r="AC133" s="1"/>
      <c r="AD133" s="1"/>
    </row>
    <row r="134" spans="6:30">
      <c r="H134" s="1"/>
      <c r="AA134" s="1"/>
      <c r="AB134" s="1"/>
      <c r="AC134" s="1"/>
      <c r="AD134" s="1"/>
    </row>
    <row r="135" spans="6:30">
      <c r="H135" s="1"/>
      <c r="AA135" s="1"/>
      <c r="AB135" s="1"/>
      <c r="AC135" s="1"/>
      <c r="AD135" s="1"/>
    </row>
    <row r="136" spans="6:30">
      <c r="H136" s="1"/>
      <c r="AA136" s="1"/>
      <c r="AB136" s="1"/>
      <c r="AC136" s="1"/>
      <c r="AD136" s="1"/>
    </row>
    <row r="137" spans="6:30">
      <c r="H137" s="1"/>
      <c r="AA137" s="1"/>
      <c r="AB137" s="1"/>
      <c r="AC137" s="1"/>
      <c r="AD137" s="1"/>
    </row>
    <row r="138" spans="6:30">
      <c r="H138" s="1"/>
      <c r="AA138" s="1"/>
      <c r="AB138" s="1"/>
      <c r="AC138" s="1"/>
      <c r="AD138" s="1"/>
    </row>
    <row r="139" spans="6:30">
      <c r="H139" s="1"/>
      <c r="AA139" s="1"/>
      <c r="AB139" s="1"/>
      <c r="AC139" s="1"/>
      <c r="AD139" s="1"/>
    </row>
    <row r="140" spans="6:30">
      <c r="H140" s="1"/>
      <c r="AA140" s="1"/>
      <c r="AB140" s="1"/>
      <c r="AC140" s="1"/>
      <c r="AD140" s="1"/>
    </row>
    <row r="141" spans="6:30">
      <c r="H141" s="1"/>
      <c r="AA141" s="1"/>
      <c r="AB141" s="1"/>
      <c r="AC141" s="1"/>
      <c r="AD141" s="1"/>
    </row>
    <row r="142" spans="6:30">
      <c r="H142" s="1"/>
      <c r="AA142" s="1"/>
      <c r="AB142" s="1"/>
      <c r="AC142" s="1"/>
      <c r="AD142" s="1"/>
    </row>
    <row r="143" spans="6:30">
      <c r="H143" s="1"/>
      <c r="AA143" s="1"/>
      <c r="AB143" s="1"/>
      <c r="AC143" s="1"/>
      <c r="AD143" s="1"/>
    </row>
    <row r="144" spans="6:30">
      <c r="H144" s="1"/>
      <c r="AA144" s="1"/>
      <c r="AB144" s="1"/>
      <c r="AC144" s="1"/>
      <c r="AD144" s="1"/>
    </row>
    <row r="145" spans="8:30">
      <c r="H145" s="1"/>
      <c r="AA145" s="1"/>
      <c r="AB145" s="1"/>
      <c r="AC145" s="1"/>
      <c r="AD145" s="1"/>
    </row>
    <row r="146" spans="8:30">
      <c r="H146" s="1"/>
      <c r="AA146" s="1"/>
      <c r="AB146" s="1"/>
      <c r="AC146" s="1"/>
      <c r="AD146" s="1"/>
    </row>
    <row r="147" spans="8:30">
      <c r="H147" s="1"/>
      <c r="AA147" s="1"/>
      <c r="AB147" s="1"/>
      <c r="AC147" s="1"/>
      <c r="AD147" s="1"/>
    </row>
    <row r="148" spans="8:30">
      <c r="H148" s="1"/>
      <c r="AA148" s="1"/>
      <c r="AB148" s="1"/>
      <c r="AC148" s="1"/>
      <c r="AD148" s="1"/>
    </row>
    <row r="149" spans="8:30">
      <c r="H149" s="1"/>
    </row>
    <row r="150" spans="8:30">
      <c r="H150" s="1"/>
    </row>
    <row r="151" spans="8:30">
      <c r="H151" s="1"/>
    </row>
    <row r="152" spans="8:30">
      <c r="H152" s="1"/>
    </row>
    <row r="153" spans="8:30">
      <c r="H153" s="1"/>
    </row>
    <row r="154" spans="8:30">
      <c r="H154" s="1"/>
    </row>
    <row r="155" spans="8:30">
      <c r="H155" s="1"/>
    </row>
    <row r="156" spans="8:30">
      <c r="H156" s="1"/>
    </row>
    <row r="157" spans="8:30">
      <c r="H157" s="1"/>
    </row>
    <row r="158" spans="8:30">
      <c r="H158" s="1"/>
    </row>
    <row r="159" spans="8:30">
      <c r="H159" s="1"/>
    </row>
    <row r="160" spans="8:30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</sheetData>
  <sheetProtection selectLockedCells="1"/>
  <mergeCells count="8">
    <mergeCell ref="R3:T3"/>
    <mergeCell ref="U3:W3"/>
    <mergeCell ref="X3:Z3"/>
    <mergeCell ref="B2:AE2"/>
    <mergeCell ref="F3:H3"/>
    <mergeCell ref="I3:K3"/>
    <mergeCell ref="L3:N3"/>
    <mergeCell ref="O3:Q3"/>
  </mergeCells>
  <phoneticPr fontId="2" type="noConversion"/>
  <hyperlinks>
    <hyperlink ref="AF2" location="turnaje!A1" display="turnaje"/>
  </hyperlink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tabColor rgb="FF800080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916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916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916"/>
      <c r="B3" s="504"/>
      <c r="C3" s="568"/>
      <c r="D3" s="866" t="s">
        <v>187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916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875" t="s">
        <v>131</v>
      </c>
      <c r="E6" s="704"/>
      <c r="F6" s="695"/>
      <c r="G6" s="695"/>
      <c r="H6" s="695"/>
      <c r="I6" s="695"/>
      <c r="J6" s="695"/>
      <c r="K6" s="479">
        <f>SUM(F6:J6)</f>
        <v>0</v>
      </c>
      <c r="L6" s="479">
        <f t="shared" ref="L6:L16" si="0">MAX(F6:J6)</f>
        <v>0</v>
      </c>
      <c r="M6" s="486">
        <f>SUM(K6*1000)+L6+0.5</f>
        <v>0.5</v>
      </c>
      <c r="N6" s="406" t="str">
        <f>IF(F6="","",RANK(M6,M6:M65,0))</f>
        <v/>
      </c>
      <c r="O6" s="479"/>
      <c r="P6" s="487"/>
      <c r="Q6" s="672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KAČEROV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KAČEROV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876"/>
      <c r="E7" s="703"/>
      <c r="F7" s="696"/>
      <c r="G7" s="696"/>
      <c r="H7" s="696"/>
      <c r="I7" s="696"/>
      <c r="J7" s="696"/>
      <c r="K7" s="481">
        <f>SUM(F7:J7)</f>
        <v>0</v>
      </c>
      <c r="L7" s="477">
        <f t="shared" si="0"/>
        <v>0</v>
      </c>
      <c r="M7" s="478">
        <f>SUM(K7*1000)+L7+0.49</f>
        <v>0.49</v>
      </c>
      <c r="N7" s="407" t="str">
        <f>IF(F7="","",RANK(M7,M6:M65,0))</f>
        <v/>
      </c>
      <c r="O7" s="481"/>
      <c r="P7" s="482"/>
      <c r="Q7" s="673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4"/>
      <c r="B8" s="280" t="str">
        <f>IF(F8="","",N8)</f>
        <v/>
      </c>
      <c r="C8" s="885"/>
      <c r="D8" s="876"/>
      <c r="E8" s="703"/>
      <c r="F8" s="696"/>
      <c r="G8" s="696"/>
      <c r="H8" s="696"/>
      <c r="I8" s="696"/>
      <c r="J8" s="696"/>
      <c r="K8" s="481">
        <f>SUM(F8:J8)</f>
        <v>0</v>
      </c>
      <c r="L8" s="477">
        <f t="shared" si="0"/>
        <v>0</v>
      </c>
      <c r="M8" s="478">
        <f>SUM(K8*1000)+L8+0.48</f>
        <v>0.48</v>
      </c>
      <c r="N8" s="407" t="str">
        <f>IF(F8="","",RANK(M8,M6:M65,0))</f>
        <v/>
      </c>
      <c r="O8" s="481"/>
      <c r="P8" s="482"/>
      <c r="Q8" s="673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4"/>
      <c r="B9" s="280" t="str">
        <f>IF(F9="","",N9)</f>
        <v/>
      </c>
      <c r="C9" s="885"/>
      <c r="D9" s="876"/>
      <c r="E9" s="703"/>
      <c r="F9" s="696"/>
      <c r="G9" s="696"/>
      <c r="H9" s="696"/>
      <c r="I9" s="696"/>
      <c r="J9" s="696"/>
      <c r="K9" s="481">
        <f>SUM(F9:J9)</f>
        <v>0</v>
      </c>
      <c r="L9" s="477">
        <f t="shared" si="0"/>
        <v>0</v>
      </c>
      <c r="M9" s="478">
        <f>SUM(K9*1000)+L9+0.47</f>
        <v>0.47</v>
      </c>
      <c r="N9" s="407" t="str">
        <f>IF(F9="","",RANK(M9,M6:M65,0))</f>
        <v/>
      </c>
      <c r="O9" s="481"/>
      <c r="P9" s="482"/>
      <c r="Q9" s="673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4"/>
      <c r="B10" s="280" t="str">
        <f>IF(F10="","",N10)</f>
        <v/>
      </c>
      <c r="C10" s="886"/>
      <c r="D10" s="877"/>
      <c r="E10" s="717"/>
      <c r="F10" s="697"/>
      <c r="G10" s="697"/>
      <c r="H10" s="697"/>
      <c r="I10" s="697"/>
      <c r="J10" s="697"/>
      <c r="K10" s="488">
        <f>SUM(F10:J10)</f>
        <v>0</v>
      </c>
      <c r="L10" s="484">
        <f t="shared" si="0"/>
        <v>0</v>
      </c>
      <c r="M10" s="489">
        <f>SUM(K10*1000)+L10+0.46</f>
        <v>0.46</v>
      </c>
      <c r="N10" s="408" t="str">
        <f>IF(F10="","",RANK(M10,M6:M65,0))</f>
        <v/>
      </c>
      <c r="O10" s="488"/>
      <c r="P10" s="490"/>
      <c r="Q10" s="687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4"/>
      <c r="B11" s="280"/>
      <c r="C11" s="523"/>
      <c r="D11" s="491"/>
      <c r="E11" s="492"/>
      <c r="F11" s="485">
        <f>SUM(F6:F10)</f>
        <v>0</v>
      </c>
      <c r="G11" s="485">
        <f>SUM(G6:G10)</f>
        <v>0</v>
      </c>
      <c r="H11" s="485">
        <f>SUM(H6:H10)</f>
        <v>0</v>
      </c>
      <c r="I11" s="485">
        <f>SUM(I6:I10)</f>
        <v>0</v>
      </c>
      <c r="J11" s="485">
        <f>SUM(J6:J10)</f>
        <v>0</v>
      </c>
      <c r="K11" s="483"/>
      <c r="L11" s="483">
        <f t="shared" si="0"/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875" t="s">
        <v>133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87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KAČEROV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876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82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876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82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876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82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876"/>
      <c r="E16" s="703"/>
      <c r="F16" s="697"/>
      <c r="G16" s="697"/>
      <c r="H16" s="697"/>
      <c r="I16" s="697"/>
      <c r="J16" s="697"/>
      <c r="K16" s="409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96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74"/>
      <c r="F17" s="522">
        <f>SUM(F12:F16)</f>
        <v>0</v>
      </c>
      <c r="G17" s="522">
        <f>SUM(G12:G16)</f>
        <v>0</v>
      </c>
      <c r="H17" s="522">
        <f>SUM(H12:H16)</f>
        <v>0</v>
      </c>
      <c r="I17" s="522">
        <f>SUM(I12:I16)</f>
        <v>0</v>
      </c>
      <c r="J17" s="522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894" t="s">
        <v>134</v>
      </c>
      <c r="E18" s="702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80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HOSTIVAŘ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HOSTIVAŘ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895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82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895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82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895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82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896"/>
      <c r="E22" s="703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96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7"/>
      <c r="F23" s="498">
        <f>SUM(F18:F22)</f>
        <v>0</v>
      </c>
      <c r="G23" s="498">
        <f>SUM(G18:G22)</f>
        <v>0</v>
      </c>
      <c r="H23" s="498">
        <f>SUM(H18:H22)</f>
        <v>0</v>
      </c>
      <c r="I23" s="498">
        <f>SUM(I18:I22)</f>
        <v>0</v>
      </c>
      <c r="J23" s="498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895" t="s">
        <v>135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80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HOSTIVAŘ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895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82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895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82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895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82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895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96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74"/>
      <c r="F29" s="522">
        <f>SUM(F24:F28)</f>
        <v>0</v>
      </c>
      <c r="G29" s="522">
        <f>SUM(G24:G28)</f>
        <v>0</v>
      </c>
      <c r="H29" s="522">
        <f>SUM(H24:H28)</f>
        <v>0</v>
      </c>
      <c r="I29" s="522">
        <f>SUM(I24:I28)</f>
        <v>0</v>
      </c>
      <c r="J29" s="522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900" t="s">
        <v>136</v>
      </c>
      <c r="E30" s="704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80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VRŠOVICE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VRŠOVICE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901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82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901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82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4"/>
      <c r="B33" s="280" t="str">
        <f>IF(F33="","",N33)</f>
        <v/>
      </c>
      <c r="C33" s="885"/>
      <c r="D33" s="901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82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4"/>
      <c r="B34" s="280" t="str">
        <f>IF(F34="","",N34)</f>
        <v/>
      </c>
      <c r="C34" s="885"/>
      <c r="D34" s="902"/>
      <c r="E34" s="703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96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4"/>
      <c r="B35" s="280"/>
      <c r="C35" s="525"/>
      <c r="D35" s="501"/>
      <c r="E35" s="497"/>
      <c r="F35" s="498">
        <f>SUM(F30:F34)</f>
        <v>0</v>
      </c>
      <c r="G35" s="498">
        <f>SUM(G30:G34)</f>
        <v>0</v>
      </c>
      <c r="H35" s="498">
        <f>SUM(H30:H34)</f>
        <v>0</v>
      </c>
      <c r="I35" s="498">
        <f>SUM(I30:I34)</f>
        <v>0</v>
      </c>
      <c r="J35" s="498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4"/>
      <c r="B36" s="280" t="str">
        <f>IF(F36="","",N36)</f>
        <v/>
      </c>
      <c r="C36" s="884">
        <v>6</v>
      </c>
      <c r="D36" s="900" t="s">
        <v>137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80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VRŠOVICE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4"/>
      <c r="B37" s="280" t="str">
        <f>IF(F37="","",N37)</f>
        <v/>
      </c>
      <c r="C37" s="885"/>
      <c r="D37" s="901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82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4"/>
      <c r="B38" s="280" t="str">
        <f>IF(F38="","",N38)</f>
        <v/>
      </c>
      <c r="C38" s="885"/>
      <c r="D38" s="901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82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4"/>
      <c r="B39" s="280" t="str">
        <f>IF(F39="","",N39)</f>
        <v/>
      </c>
      <c r="C39" s="885"/>
      <c r="D39" s="901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82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4"/>
      <c r="B40" s="280" t="str">
        <f>IF(F40="","",N40)</f>
        <v/>
      </c>
      <c r="C40" s="885"/>
      <c r="D40" s="901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96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4"/>
      <c r="B41" s="504"/>
      <c r="C41" s="524"/>
      <c r="D41" s="519"/>
      <c r="E41" s="574"/>
      <c r="F41" s="522">
        <f>SUM(F36:F40)</f>
        <v>0</v>
      </c>
      <c r="G41" s="522">
        <f>SUM(G36:G40)</f>
        <v>0</v>
      </c>
      <c r="H41" s="522">
        <f>SUM(H36:H40)</f>
        <v>0</v>
      </c>
      <c r="I41" s="522">
        <f>SUM(I36:I40)</f>
        <v>0</v>
      </c>
      <c r="J41" s="522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4"/>
      <c r="B42" s="280" t="str">
        <f>IF(F42="","",N42)</f>
        <v/>
      </c>
      <c r="C42" s="884">
        <v>7</v>
      </c>
      <c r="D42" s="897" t="s">
        <v>138</v>
      </c>
      <c r="E42" s="704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80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KLÍČOV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KLÍČOV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4"/>
      <c r="B43" s="280" t="str">
        <f>IF(F43="","",N43)</f>
        <v/>
      </c>
      <c r="C43" s="885"/>
      <c r="D43" s="898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82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4"/>
      <c r="B44" s="280" t="str">
        <f>IF(F44="","",N44)</f>
        <v/>
      </c>
      <c r="C44" s="885"/>
      <c r="D44" s="898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82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4"/>
      <c r="B45" s="280" t="str">
        <f>IF(F45="","",N45)</f>
        <v/>
      </c>
      <c r="C45" s="885"/>
      <c r="D45" s="898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82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4"/>
      <c r="B46" s="280" t="str">
        <f>IF(F46="","",N46)</f>
        <v/>
      </c>
      <c r="C46" s="885"/>
      <c r="D46" s="899"/>
      <c r="E46" s="703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96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4"/>
      <c r="B47" s="280"/>
      <c r="C47" s="525"/>
      <c r="D47" s="412"/>
      <c r="E47" s="497"/>
      <c r="F47" s="498">
        <f>SUM(F42:F46)</f>
        <v>0</v>
      </c>
      <c r="G47" s="498">
        <f>SUM(G42:G46)</f>
        <v>0</v>
      </c>
      <c r="H47" s="498">
        <f>SUM(H42:H46)</f>
        <v>0</v>
      </c>
      <c r="I47" s="498">
        <f>SUM(I42:I46)</f>
        <v>0</v>
      </c>
      <c r="J47" s="498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4"/>
      <c r="B48" s="280" t="str">
        <f>IF(F48="","",N48)</f>
        <v/>
      </c>
      <c r="C48" s="884">
        <v>8</v>
      </c>
      <c r="D48" s="897" t="s">
        <v>139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80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KLÍČOV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898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82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898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82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898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82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898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96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4"/>
      <c r="E53" s="515"/>
      <c r="F53" s="522">
        <f>SUM(F48:F52)</f>
        <v>0</v>
      </c>
      <c r="G53" s="522">
        <f>SUM(G48:G52)</f>
        <v>0</v>
      </c>
      <c r="H53" s="522">
        <f>SUM(H48:H52)</f>
        <v>0</v>
      </c>
      <c r="I53" s="522">
        <f>SUM(I48:I52)</f>
        <v>0</v>
      </c>
      <c r="J53" s="522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903" t="s">
        <v>124</v>
      </c>
      <c r="E54" s="704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80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ŘEPY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ŘEPY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904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82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904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82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904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82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905"/>
      <c r="E58" s="703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96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1"/>
      <c r="E59" s="497"/>
      <c r="F59" s="498">
        <f>SUM(F54:F58)</f>
        <v>0</v>
      </c>
      <c r="G59" s="498">
        <f>SUM(G54:G58)</f>
        <v>0</v>
      </c>
      <c r="H59" s="498">
        <f>SUM(H54:H58)</f>
        <v>0</v>
      </c>
      <c r="I59" s="498">
        <f>SUM(I54:I58)</f>
        <v>0</v>
      </c>
      <c r="J59" s="498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903" t="s">
        <v>127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80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ŘEPY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904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82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904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82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904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82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904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96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529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680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C12:C16"/>
    <mergeCell ref="D12:D16"/>
    <mergeCell ref="R12:R16"/>
    <mergeCell ref="AC17:AD17"/>
    <mergeCell ref="C18:C22"/>
    <mergeCell ref="D18:D22"/>
    <mergeCell ref="R18:R22"/>
    <mergeCell ref="AD18:AD28"/>
    <mergeCell ref="D3:AN3"/>
    <mergeCell ref="A1:A4"/>
    <mergeCell ref="C5:D5"/>
    <mergeCell ref="N5:O5"/>
    <mergeCell ref="AG5:AI5"/>
    <mergeCell ref="C6:C10"/>
    <mergeCell ref="D6:D10"/>
    <mergeCell ref="R6:R10"/>
    <mergeCell ref="AD6:AD16"/>
    <mergeCell ref="AL6:AN6"/>
  </mergeCells>
  <conditionalFormatting sqref="AD54 R6 R11:R12 R17:R18 R23:R24 R29:R30 R35:R36 R41:R42 R47:R48 R53:R54 R59:R60 R65 V6:AB6 AD6 V18:AB18 V30:AB30 V42:AB42 V54:AB54 AD18 AD30 AD42 V12:W12 V24:W24 V36:W36 V48:W48 V60:W60">
    <cfRule type="cellIs" dxfId="20" priority="13" stopIfTrue="1" operator="equal">
      <formula>3</formula>
    </cfRule>
    <cfRule type="cellIs" dxfId="19" priority="14" stopIfTrue="1" operator="equal">
      <formula>2</formula>
    </cfRule>
    <cfRule type="cellIs" dxfId="18" priority="15" stopIfTrue="1" operator="equal">
      <formula>1</formula>
    </cfRule>
  </conditionalFormatting>
  <conditionalFormatting sqref="F6:J10 F12:J16 F18:J22 F24:J28 F30:J34 F36:J40 F42:J46 F48:J52 F54:J58 F60:J64">
    <cfRule type="cellIs" dxfId="17" priority="1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>
    <tabColor rgb="FFFFFF00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865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B3" s="504"/>
      <c r="C3" s="568"/>
      <c r="D3" s="866" t="s">
        <v>188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903" t="s">
        <v>124</v>
      </c>
      <c r="E6" s="704"/>
      <c r="F6" s="695"/>
      <c r="G6" s="695"/>
      <c r="H6" s="695"/>
      <c r="I6" s="695"/>
      <c r="J6" s="695"/>
      <c r="K6" s="406">
        <f>SUM(F6:J6)</f>
        <v>0</v>
      </c>
      <c r="L6" s="406">
        <f t="shared" ref="L6:L16" si="0">MAX(F6:J6)</f>
        <v>0</v>
      </c>
      <c r="M6" s="603">
        <f>SUM(K6*1000)+L6+0.5</f>
        <v>0.5</v>
      </c>
      <c r="N6" s="406" t="str">
        <f>IF(F6="","",RANK(M6,M6:M65,0))</f>
        <v/>
      </c>
      <c r="O6" s="406"/>
      <c r="P6" s="406"/>
      <c r="Q6" s="689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ŘEPY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ŘEPY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904"/>
      <c r="E7" s="703"/>
      <c r="F7" s="696"/>
      <c r="G7" s="696"/>
      <c r="H7" s="696"/>
      <c r="I7" s="696"/>
      <c r="J7" s="696"/>
      <c r="K7" s="407">
        <f>SUM(F7:J7)</f>
        <v>0</v>
      </c>
      <c r="L7" s="410">
        <f t="shared" si="0"/>
        <v>0</v>
      </c>
      <c r="M7" s="604">
        <f>SUM(K7*1000)+L7+0.49</f>
        <v>0.49</v>
      </c>
      <c r="N7" s="407" t="str">
        <f>IF(F7="","",RANK(M7,M6:M65,0))</f>
        <v/>
      </c>
      <c r="O7" s="407"/>
      <c r="P7" s="407"/>
      <c r="Q7" s="690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4"/>
      <c r="B8" s="280" t="str">
        <f>IF(F8="","",N8)</f>
        <v/>
      </c>
      <c r="C8" s="885"/>
      <c r="D8" s="904"/>
      <c r="E8" s="703"/>
      <c r="F8" s="696"/>
      <c r="G8" s="696"/>
      <c r="H8" s="696"/>
      <c r="I8" s="696"/>
      <c r="J8" s="696"/>
      <c r="K8" s="407">
        <f>SUM(F8:J8)</f>
        <v>0</v>
      </c>
      <c r="L8" s="410">
        <f t="shared" si="0"/>
        <v>0</v>
      </c>
      <c r="M8" s="604">
        <f>SUM(K8*1000)+L8+0.48</f>
        <v>0.48</v>
      </c>
      <c r="N8" s="407" t="str">
        <f>IF(F8="","",RANK(M8,M6:M65,0))</f>
        <v/>
      </c>
      <c r="O8" s="407"/>
      <c r="P8" s="407"/>
      <c r="Q8" s="690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4"/>
      <c r="B9" s="280" t="str">
        <f>IF(F9="","",N9)</f>
        <v/>
      </c>
      <c r="C9" s="885"/>
      <c r="D9" s="904"/>
      <c r="E9" s="703"/>
      <c r="F9" s="696"/>
      <c r="G9" s="696"/>
      <c r="H9" s="696"/>
      <c r="I9" s="696"/>
      <c r="J9" s="696"/>
      <c r="K9" s="407">
        <f>SUM(F9:J9)</f>
        <v>0</v>
      </c>
      <c r="L9" s="410">
        <f t="shared" si="0"/>
        <v>0</v>
      </c>
      <c r="M9" s="604">
        <f>SUM(K9*1000)+L9+0.47</f>
        <v>0.47</v>
      </c>
      <c r="N9" s="407" t="str">
        <f>IF(F9="","",RANK(M9,M6:M65,0))</f>
        <v/>
      </c>
      <c r="O9" s="407"/>
      <c r="P9" s="407"/>
      <c r="Q9" s="690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4"/>
      <c r="B10" s="280" t="str">
        <f>IF(F10="","",N10)</f>
        <v/>
      </c>
      <c r="C10" s="886"/>
      <c r="D10" s="905"/>
      <c r="E10" s="703"/>
      <c r="F10" s="697"/>
      <c r="G10" s="697"/>
      <c r="H10" s="697"/>
      <c r="I10" s="697"/>
      <c r="J10" s="697"/>
      <c r="K10" s="408">
        <f>SUM(F10:J10)</f>
        <v>0</v>
      </c>
      <c r="L10" s="605">
        <f t="shared" si="0"/>
        <v>0</v>
      </c>
      <c r="M10" s="606">
        <f>SUM(K10*1000)+L10+0.46</f>
        <v>0.46</v>
      </c>
      <c r="N10" s="408" t="str">
        <f>IF(F10="","",RANK(M10,M6:M65,0))</f>
        <v/>
      </c>
      <c r="O10" s="408"/>
      <c r="P10" s="408"/>
      <c r="Q10" s="691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4"/>
      <c r="B11" s="280"/>
      <c r="C11" s="523"/>
      <c r="D11" s="491"/>
      <c r="E11" s="497"/>
      <c r="F11" s="575">
        <f>SUM(F6:F10)</f>
        <v>0</v>
      </c>
      <c r="G11" s="575">
        <f>SUM(G6:G10)</f>
        <v>0</v>
      </c>
      <c r="H11" s="575">
        <f>SUM(H6:H10)</f>
        <v>0</v>
      </c>
      <c r="I11" s="575">
        <f>SUM(I6:I10)</f>
        <v>0</v>
      </c>
      <c r="J11" s="575">
        <f>SUM(J6:J10)</f>
        <v>0</v>
      </c>
      <c r="K11" s="483"/>
      <c r="L11" s="483">
        <f>MAX(F11:J11)</f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903" t="s">
        <v>127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06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ŘEPY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904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07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904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07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904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07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905"/>
      <c r="E16" s="703"/>
      <c r="F16" s="697"/>
      <c r="G16" s="697"/>
      <c r="H16" s="697"/>
      <c r="I16" s="697"/>
      <c r="J16" s="697"/>
      <c r="K16" s="495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08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74"/>
      <c r="F17" s="571">
        <f>SUM(F12:F16)</f>
        <v>0</v>
      </c>
      <c r="G17" s="571">
        <f>SUM(G12:G16)</f>
        <v>0</v>
      </c>
      <c r="H17" s="571">
        <f>SUM(H12:H16)</f>
        <v>0</v>
      </c>
      <c r="I17" s="571">
        <f>SUM(I12:I16)</f>
        <v>0</v>
      </c>
      <c r="J17" s="571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875" t="s">
        <v>131</v>
      </c>
      <c r="E18" s="704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06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KAČEROV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KAČEROV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876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07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876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07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876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07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877"/>
      <c r="E22" s="717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08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2"/>
      <c r="F23" s="570">
        <f>SUM(F18:F22)</f>
        <v>0</v>
      </c>
      <c r="G23" s="570">
        <f>SUM(G18:G22)</f>
        <v>0</v>
      </c>
      <c r="H23" s="570">
        <f>SUM(H18:H22)</f>
        <v>0</v>
      </c>
      <c r="I23" s="570">
        <f>SUM(I18:I22)</f>
        <v>0</v>
      </c>
      <c r="J23" s="570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875" t="s">
        <v>133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06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KAČEROV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876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07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876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07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876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07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877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08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74"/>
      <c r="F29" s="571">
        <f>SUM(F24:F28)</f>
        <v>0</v>
      </c>
      <c r="G29" s="571">
        <f>SUM(G24:G28)</f>
        <v>0</v>
      </c>
      <c r="H29" s="571">
        <f>SUM(H24:H28)</f>
        <v>0</v>
      </c>
      <c r="I29" s="571">
        <f>SUM(I24:I28)</f>
        <v>0</v>
      </c>
      <c r="J29" s="571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894" t="s">
        <v>134</v>
      </c>
      <c r="E30" s="702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06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HOSTIVAŘ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HOSTIVAŘ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895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07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895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07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3" ht="15" customHeight="1">
      <c r="A33" s="504"/>
      <c r="B33" s="280" t="str">
        <f>IF(F33="","",N33)</f>
        <v/>
      </c>
      <c r="C33" s="885"/>
      <c r="D33" s="895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07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3" ht="15" customHeight="1">
      <c r="A34" s="504"/>
      <c r="B34" s="280" t="str">
        <f>IF(F34="","",N34)</f>
        <v/>
      </c>
      <c r="C34" s="885"/>
      <c r="D34" s="896"/>
      <c r="E34" s="703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08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3" ht="15" customHeight="1">
      <c r="A35" s="504"/>
      <c r="B35" s="280"/>
      <c r="C35" s="525"/>
      <c r="D35" s="501"/>
      <c r="E35" s="497"/>
      <c r="F35" s="570">
        <f>SUM(F30:F34)</f>
        <v>0</v>
      </c>
      <c r="G35" s="570">
        <f>SUM(G30:G34)</f>
        <v>0</v>
      </c>
      <c r="H35" s="570">
        <f>SUM(H30:H34)</f>
        <v>0</v>
      </c>
      <c r="I35" s="570">
        <f>SUM(I30:I34)</f>
        <v>0</v>
      </c>
      <c r="J35" s="570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3" ht="15" customHeight="1">
      <c r="A36" s="504"/>
      <c r="B36" s="280" t="str">
        <f>IF(F36="","",N36)</f>
        <v/>
      </c>
      <c r="C36" s="884">
        <v>6</v>
      </c>
      <c r="D36" s="894" t="s">
        <v>135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06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HOSTIVAŘ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3" ht="15" customHeight="1">
      <c r="A37" s="504"/>
      <c r="B37" s="280" t="str">
        <f>IF(F37="","",N37)</f>
        <v/>
      </c>
      <c r="C37" s="885"/>
      <c r="D37" s="895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07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3" ht="15" customHeight="1">
      <c r="A38" s="504"/>
      <c r="B38" s="280" t="str">
        <f>IF(F38="","",N38)</f>
        <v/>
      </c>
      <c r="C38" s="885"/>
      <c r="D38" s="895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07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3" ht="15" customHeight="1">
      <c r="A39" s="504"/>
      <c r="B39" s="280" t="str">
        <f>IF(F39="","",N39)</f>
        <v/>
      </c>
      <c r="C39" s="885"/>
      <c r="D39" s="895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07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3" ht="15" customHeight="1">
      <c r="A40" s="504"/>
      <c r="B40" s="280" t="str">
        <f>IF(F40="","",N40)</f>
        <v/>
      </c>
      <c r="C40" s="885"/>
      <c r="D40" s="896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08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3" ht="15" customHeight="1">
      <c r="A41" s="504"/>
      <c r="B41" s="504"/>
      <c r="C41" s="524"/>
      <c r="D41" s="519"/>
      <c r="E41" s="574"/>
      <c r="F41" s="571">
        <f>SUM(F36:F40)</f>
        <v>0</v>
      </c>
      <c r="G41" s="571">
        <f>SUM(G36:G40)</f>
        <v>0</v>
      </c>
      <c r="H41" s="571">
        <f>SUM(H36:H40)</f>
        <v>0</v>
      </c>
      <c r="I41" s="571">
        <f>SUM(I36:I40)</f>
        <v>0</v>
      </c>
      <c r="J41" s="571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3" ht="15" customHeight="1">
      <c r="A42" s="504"/>
      <c r="B42" s="280" t="str">
        <f>IF(F42="","",N42)</f>
        <v/>
      </c>
      <c r="C42" s="884">
        <v>7</v>
      </c>
      <c r="D42" s="900" t="s">
        <v>136</v>
      </c>
      <c r="E42" s="704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06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VRŠOVICE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VRŠOVICE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67" t="s">
        <v>134</v>
      </c>
    </row>
    <row r="43" spans="1:53" ht="15" customHeight="1">
      <c r="A43" s="504"/>
      <c r="B43" s="280" t="str">
        <f>IF(F43="","",N43)</f>
        <v/>
      </c>
      <c r="C43" s="885"/>
      <c r="D43" s="901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07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67" t="s">
        <v>136</v>
      </c>
    </row>
    <row r="44" spans="1:53" ht="15" customHeight="1">
      <c r="A44" s="504"/>
      <c r="B44" s="280" t="str">
        <f>IF(F44="","",N44)</f>
        <v/>
      </c>
      <c r="C44" s="885"/>
      <c r="D44" s="901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07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67" t="s">
        <v>138</v>
      </c>
    </row>
    <row r="45" spans="1:53" ht="15" customHeight="1">
      <c r="A45" s="504"/>
      <c r="B45" s="280" t="str">
        <f>IF(F45="","",N45)</f>
        <v/>
      </c>
      <c r="C45" s="885"/>
      <c r="D45" s="901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07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67" t="s">
        <v>124</v>
      </c>
    </row>
    <row r="46" spans="1:53" ht="15" customHeight="1">
      <c r="A46" s="504"/>
      <c r="B46" s="280" t="str">
        <f>IF(F46="","",N46)</f>
        <v/>
      </c>
      <c r="C46" s="885"/>
      <c r="D46" s="902"/>
      <c r="E46" s="703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08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67" t="s">
        <v>131</v>
      </c>
    </row>
    <row r="47" spans="1:53" ht="15" customHeight="1">
      <c r="A47" s="504"/>
      <c r="B47" s="280"/>
      <c r="C47" s="525"/>
      <c r="D47" s="412"/>
      <c r="E47" s="497"/>
      <c r="F47" s="570">
        <f>SUM(F42:F46)</f>
        <v>0</v>
      </c>
      <c r="G47" s="570">
        <f>SUM(G42:G46)</f>
        <v>0</v>
      </c>
      <c r="H47" s="570">
        <f>SUM(H42:H46)</f>
        <v>0</v>
      </c>
      <c r="I47" s="570">
        <f>SUM(I42:I46)</f>
        <v>0</v>
      </c>
      <c r="J47" s="570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3" ht="15" customHeight="1">
      <c r="A48" s="504"/>
      <c r="B48" s="280" t="str">
        <f>IF(F48="","",N48)</f>
        <v/>
      </c>
      <c r="C48" s="884">
        <v>8</v>
      </c>
      <c r="D48" s="900" t="s">
        <v>137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06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VRŠOVICE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901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07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901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07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901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07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902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08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4"/>
      <c r="E53" s="574"/>
      <c r="F53" s="571">
        <f>SUM(F48:F52)</f>
        <v>0</v>
      </c>
      <c r="G53" s="571">
        <f>SUM(G48:G52)</f>
        <v>0</v>
      </c>
      <c r="H53" s="571">
        <f>SUM(H48:H52)</f>
        <v>0</v>
      </c>
      <c r="I53" s="571">
        <f>SUM(I48:I52)</f>
        <v>0</v>
      </c>
      <c r="J53" s="571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897" t="s">
        <v>138</v>
      </c>
      <c r="E54" s="704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06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KLÍČOV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KLÍČOV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898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07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898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07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898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07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899"/>
      <c r="E58" s="703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08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1"/>
      <c r="E59" s="497"/>
      <c r="F59" s="570">
        <f>SUM(F54:F58)</f>
        <v>0</v>
      </c>
      <c r="G59" s="570">
        <f>SUM(G54:G58)</f>
        <v>0</v>
      </c>
      <c r="H59" s="570">
        <f>SUM(H54:H58)</f>
        <v>0</v>
      </c>
      <c r="I59" s="570">
        <f>SUM(I54:I58)</f>
        <v>0</v>
      </c>
      <c r="J59" s="570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897" t="s">
        <v>139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06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KLÍČOV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898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07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898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07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898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07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899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08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682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680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C12:C16"/>
    <mergeCell ref="D12:D16"/>
    <mergeCell ref="R12:R16"/>
    <mergeCell ref="AC17:AD17"/>
    <mergeCell ref="C18:C22"/>
    <mergeCell ref="D18:D22"/>
    <mergeCell ref="R18:R22"/>
    <mergeCell ref="AD18:AD28"/>
    <mergeCell ref="D3:AN3"/>
    <mergeCell ref="A1:A4"/>
    <mergeCell ref="C5:D5"/>
    <mergeCell ref="N5:O5"/>
    <mergeCell ref="AG5:AI5"/>
    <mergeCell ref="C6:C10"/>
    <mergeCell ref="D6:D10"/>
    <mergeCell ref="R6:R10"/>
    <mergeCell ref="AD6:AD16"/>
    <mergeCell ref="AL6:AN6"/>
  </mergeCells>
  <conditionalFormatting sqref="AD54 R6 R11:R12 R17:R18 R23:R24 R29:R30 R35:R36 R41:R42 R47:R48 R53:R54 R59:R60 R65 V6:AB6 AD6 V18:AB18 V30:AB30 V42:AB42 V54:AB54 AD18 AD30 AD42 V12:W12 V24:W24 V36:W36 V48:W48 V60:W60">
    <cfRule type="cellIs" dxfId="16" priority="13" stopIfTrue="1" operator="equal">
      <formula>3</formula>
    </cfRule>
    <cfRule type="cellIs" dxfId="15" priority="14" stopIfTrue="1" operator="equal">
      <formula>2</formula>
    </cfRule>
    <cfRule type="cellIs" dxfId="14" priority="15" stopIfTrue="1" operator="equal">
      <formula>1</formula>
    </cfRule>
  </conditionalFormatting>
  <conditionalFormatting sqref="F6:J10 F12:J16 F18:J22 F24:J28 F30:J34 F36:J40 F42:J46 F48:J52 F54:J58 F60:J64">
    <cfRule type="cellIs" dxfId="13" priority="1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theme="3" tint="0.59999389629810485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7.7109375" hidden="1" customWidth="1"/>
    <col min="17" max="17" width="12.7109375" hidden="1" customWidth="1"/>
    <col min="18" max="18" width="7.7109375" customWidth="1"/>
    <col min="19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7" width="10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customWidth="1"/>
    <col min="36" max="36" width="1.28515625" customWidth="1"/>
    <col min="37" max="37" width="3.7109375" hidden="1" customWidth="1"/>
    <col min="38" max="38" width="3.28515625" customWidth="1"/>
    <col min="39" max="39" width="15.7109375" customWidth="1"/>
    <col min="53" max="53" width="12.7109375" customWidth="1"/>
  </cols>
  <sheetData>
    <row r="1" spans="1:53" ht="12.75" customHeight="1">
      <c r="A1" s="865" t="s">
        <v>114</v>
      </c>
      <c r="C1" s="607"/>
      <c r="D1" s="705"/>
      <c r="E1" s="705"/>
      <c r="F1" s="706"/>
      <c r="G1" s="706"/>
      <c r="H1" s="706"/>
      <c r="I1" s="706"/>
      <c r="J1" s="706"/>
      <c r="K1" s="706"/>
      <c r="L1" s="707"/>
      <c r="M1" s="707"/>
      <c r="N1" s="706"/>
      <c r="O1" s="706"/>
      <c r="P1" s="708"/>
      <c r="Q1" s="708"/>
      <c r="R1" s="705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5"/>
      <c r="AD1" s="705"/>
      <c r="AE1" s="705"/>
      <c r="AF1" s="708"/>
      <c r="AG1" s="705"/>
      <c r="AH1" s="705"/>
      <c r="AI1" s="706"/>
      <c r="AJ1" s="705"/>
      <c r="AK1" s="708"/>
      <c r="AL1" s="705"/>
      <c r="AM1" s="705"/>
      <c r="AN1" s="705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C2" s="607"/>
      <c r="D2" s="705"/>
      <c r="E2" s="705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6"/>
      <c r="AJ2" s="705"/>
      <c r="AK2" s="705"/>
      <c r="AL2" s="705"/>
      <c r="AM2" s="705"/>
      <c r="AN2" s="705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C3" s="568"/>
      <c r="D3" s="866" t="s">
        <v>189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C4" s="506"/>
      <c r="D4" s="506"/>
      <c r="E4" s="506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10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6"/>
      <c r="C5" s="867" t="s">
        <v>81</v>
      </c>
      <c r="D5" s="868"/>
      <c r="E5" s="576" t="s">
        <v>121</v>
      </c>
      <c r="F5" s="577" t="s">
        <v>82</v>
      </c>
      <c r="G5" s="578" t="s">
        <v>83</v>
      </c>
      <c r="H5" s="578" t="s">
        <v>84</v>
      </c>
      <c r="I5" s="578" t="s">
        <v>85</v>
      </c>
      <c r="J5" s="578" t="s">
        <v>86</v>
      </c>
      <c r="K5" s="470" t="s">
        <v>87</v>
      </c>
      <c r="L5" s="448"/>
      <c r="M5" s="448"/>
      <c r="N5" s="869" t="s">
        <v>122</v>
      </c>
      <c r="O5" s="870"/>
      <c r="P5" s="579"/>
      <c r="Q5" s="579"/>
      <c r="R5" s="472" t="s">
        <v>123</v>
      </c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871" t="s">
        <v>142</v>
      </c>
      <c r="AH5" s="871"/>
      <c r="AI5" s="871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6"/>
      <c r="B6" t="str">
        <f>IF(F6="","",N6)</f>
        <v/>
      </c>
      <c r="C6" s="872">
        <v>1</v>
      </c>
      <c r="D6" s="897" t="s">
        <v>138</v>
      </c>
      <c r="E6" s="704"/>
      <c r="F6" s="709"/>
      <c r="G6" s="709"/>
      <c r="H6" s="709"/>
      <c r="I6" s="709"/>
      <c r="J6" s="709"/>
      <c r="K6" s="595">
        <f>SUM(F6:J6)</f>
        <v>0</v>
      </c>
      <c r="L6" s="595">
        <f t="shared" ref="L6:L16" si="0">MAX(F6:J6)</f>
        <v>0</v>
      </c>
      <c r="M6" s="645">
        <f>SUM(K6*1000)+L6+0.055</f>
        <v>5.5E-2</v>
      </c>
      <c r="N6" s="595" t="str">
        <f>IF(F6="","",RANK(M6,M6:M70,0))</f>
        <v/>
      </c>
      <c r="O6" s="595"/>
      <c r="P6" s="645"/>
      <c r="Q6" s="609"/>
      <c r="R6" s="878" t="str">
        <f>IF(F6="","",RANK(Q11,Q11:Q71,0))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KLÍČOV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KLÍČOV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608"/>
      <c r="AF6">
        <f>COUNT(F6:F10,F12:F16,F18:F22,F24:F28,F30:F34,F36:F40,F42:F46,F48:F52,F54:F58,F60:F64,F66:F70)</f>
        <v>0</v>
      </c>
      <c r="AG6" s="94">
        <v>1</v>
      </c>
      <c r="AH6" s="95" t="str">
        <f>IF(AF6&lt;1,"",VLOOKUP(1,B6:N70,4,FALSE))</f>
        <v/>
      </c>
      <c r="AI6" s="94" t="str">
        <f>IF(AF6&lt;1,"",VLOOKUP(1,B6:N70,10,FALSE))</f>
        <v/>
      </c>
      <c r="AJ6" s="506"/>
      <c r="AK6" s="7">
        <f>COUNT(U6:U16,U18:U28,U30:U40,U42:U52,U54:U64,U66)</f>
        <v>0</v>
      </c>
      <c r="AL6" s="859" t="s">
        <v>180</v>
      </c>
      <c r="AM6" s="860"/>
      <c r="AN6" s="861"/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6"/>
      <c r="B7" t="str">
        <f>IF(F7="","",N7)</f>
        <v/>
      </c>
      <c r="C7" s="873"/>
      <c r="D7" s="898"/>
      <c r="E7" s="703"/>
      <c r="F7" s="710"/>
      <c r="G7" s="710"/>
      <c r="H7" s="710"/>
      <c r="I7" s="710"/>
      <c r="J7" s="710"/>
      <c r="K7" s="585">
        <f>SUM(F7:J7)</f>
        <v>0</v>
      </c>
      <c r="L7" s="585">
        <f t="shared" si="0"/>
        <v>0</v>
      </c>
      <c r="M7" s="646">
        <f>SUM(K7*1000)+L7+0.054</f>
        <v>5.3999999999999999E-2</v>
      </c>
      <c r="N7" s="585" t="str">
        <f>IF(F7="","",RANK(M7,M6:M70,0))</f>
        <v/>
      </c>
      <c r="O7" s="585"/>
      <c r="P7" s="646"/>
      <c r="Q7" s="610"/>
      <c r="R7" s="879"/>
      <c r="S7" s="538"/>
      <c r="T7" s="528"/>
      <c r="U7" s="528"/>
      <c r="V7" s="528"/>
      <c r="W7" s="528"/>
      <c r="X7" s="528"/>
      <c r="Y7" s="528"/>
      <c r="Z7" s="528"/>
      <c r="AA7" s="528"/>
      <c r="AB7" s="539"/>
      <c r="AC7" s="532"/>
      <c r="AD7" s="863"/>
      <c r="AE7" s="608"/>
      <c r="AF7" s="506"/>
      <c r="AG7" s="94">
        <f>SUM(AG6+1)</f>
        <v>2</v>
      </c>
      <c r="AH7" s="95" t="str">
        <f>IF(AF6&lt;2,"",VLOOKUP(2,B6:N70,4,FALSE))</f>
        <v/>
      </c>
      <c r="AI7" s="94" t="str">
        <f>IF(AF6&lt;2,"",VLOOKUP(2,B6:N70,10,FALSE))</f>
        <v/>
      </c>
      <c r="AJ7" s="506"/>
      <c r="AK7" s="561"/>
      <c r="AL7" s="476">
        <v>1</v>
      </c>
      <c r="AM7" s="414" t="str">
        <f>IF(AK6&lt;1,"",VLOOKUP(1,U6:W70,2,FALSE))</f>
        <v/>
      </c>
      <c r="AN7" s="669" t="str">
        <f>IF(AK6&lt;1,"",VLOOKUP(1,U6:W70,3,FALSE))</f>
        <v/>
      </c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6"/>
      <c r="B8" t="str">
        <f>IF(F8="","",N8)</f>
        <v/>
      </c>
      <c r="C8" s="873"/>
      <c r="D8" s="898"/>
      <c r="E8" s="703"/>
      <c r="F8" s="710"/>
      <c r="G8" s="710"/>
      <c r="H8" s="710"/>
      <c r="I8" s="710"/>
      <c r="J8" s="710"/>
      <c r="K8" s="585">
        <f>SUM(F8:J8)</f>
        <v>0</v>
      </c>
      <c r="L8" s="585">
        <f t="shared" si="0"/>
        <v>0</v>
      </c>
      <c r="M8" s="646">
        <f>SUM(K8*1000)+L8+0.053</f>
        <v>5.2999999999999999E-2</v>
      </c>
      <c r="N8" s="585" t="str">
        <f>IF(F8="","",RANK(M8,M6:M71,0))</f>
        <v/>
      </c>
      <c r="O8" s="585"/>
      <c r="P8" s="646"/>
      <c r="Q8" s="610"/>
      <c r="R8" s="879"/>
      <c r="S8" s="538"/>
      <c r="T8" s="528"/>
      <c r="U8" s="528"/>
      <c r="V8" s="528"/>
      <c r="W8" s="528"/>
      <c r="X8" s="528"/>
      <c r="Y8" s="528"/>
      <c r="Z8" s="528"/>
      <c r="AA8" s="528"/>
      <c r="AB8" s="539"/>
      <c r="AC8" s="532"/>
      <c r="AD8" s="863"/>
      <c r="AE8" s="608"/>
      <c r="AF8" s="506"/>
      <c r="AG8" s="94">
        <f t="shared" ref="AG8:AG60" si="1">SUM(AG7+1)</f>
        <v>3</v>
      </c>
      <c r="AH8" s="95" t="str">
        <f>IF(AF6&lt;3,"",VLOOKUP(3,B6:N70,4,FALSE))</f>
        <v/>
      </c>
      <c r="AI8" s="94" t="str">
        <f>IF(AF6&lt;3,"",VLOOKUP(3,B6:N70,10,FALSE))</f>
        <v/>
      </c>
      <c r="AJ8" s="506"/>
      <c r="AK8" s="561"/>
      <c r="AL8" s="476">
        <v>2</v>
      </c>
      <c r="AM8" s="414" t="str">
        <f>IF(AK6&lt;2,"",VLOOKUP(2,U6:W70,2,FALSE))</f>
        <v/>
      </c>
      <c r="AN8" s="669" t="str">
        <f>IF(AK6&lt;2,"",VLOOKUP(2,U6:W70,3,FALSE))</f>
        <v/>
      </c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6"/>
      <c r="B9" t="str">
        <f>IF(F9="","",N9)</f>
        <v/>
      </c>
      <c r="C9" s="873"/>
      <c r="D9" s="898"/>
      <c r="E9" s="703"/>
      <c r="F9" s="710"/>
      <c r="G9" s="710"/>
      <c r="H9" s="710"/>
      <c r="I9" s="710"/>
      <c r="J9" s="710"/>
      <c r="K9" s="585">
        <f>SUM(F9:J9)</f>
        <v>0</v>
      </c>
      <c r="L9" s="585">
        <f t="shared" si="0"/>
        <v>0</v>
      </c>
      <c r="M9" s="646">
        <f>SUM(K9*1000)+L9+0.052</f>
        <v>5.1999999999999998E-2</v>
      </c>
      <c r="N9" s="585" t="str">
        <f>IF(F9="","",RANK(M9,M6:M70,0))</f>
        <v/>
      </c>
      <c r="O9" s="585"/>
      <c r="P9" s="646"/>
      <c r="Q9" s="610"/>
      <c r="R9" s="879"/>
      <c r="S9" s="538"/>
      <c r="T9" s="528"/>
      <c r="U9" s="528"/>
      <c r="V9" s="528"/>
      <c r="W9" s="528"/>
      <c r="X9" s="528"/>
      <c r="Y9" s="528"/>
      <c r="Z9" s="528"/>
      <c r="AA9" s="528"/>
      <c r="AB9" s="539"/>
      <c r="AC9" s="532"/>
      <c r="AD9" s="863"/>
      <c r="AE9" s="608"/>
      <c r="AF9" s="506"/>
      <c r="AG9" s="94">
        <f t="shared" si="1"/>
        <v>4</v>
      </c>
      <c r="AH9" s="95" t="str">
        <f>IF(AF6&lt;4,"",VLOOKUP(4,B6:N70,4,FALSE))</f>
        <v/>
      </c>
      <c r="AI9" s="94" t="str">
        <f>IF(AF6&lt;4,"",VLOOKUP(4,B6:N70,10,FALSE))</f>
        <v/>
      </c>
      <c r="AJ9" s="506"/>
      <c r="AK9" s="561"/>
      <c r="AL9" s="476">
        <v>3</v>
      </c>
      <c r="AM9" s="414" t="str">
        <f>IF(AK6&lt;3,"",VLOOKUP(3,U6:W70,2,FALSE))</f>
        <v/>
      </c>
      <c r="AN9" s="669" t="str">
        <f>IF(AK6&lt;3,"",VLOOKUP(3,U6:W70,3,FALSE))</f>
        <v/>
      </c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6"/>
      <c r="B10" t="str">
        <f>IF(F10="","",N10)</f>
        <v/>
      </c>
      <c r="C10" s="874"/>
      <c r="D10" s="899"/>
      <c r="E10" s="703"/>
      <c r="F10" s="711"/>
      <c r="G10" s="711"/>
      <c r="H10" s="711"/>
      <c r="I10" s="711"/>
      <c r="J10" s="711"/>
      <c r="K10" s="596">
        <f>SUM(F10:J10)</f>
        <v>0</v>
      </c>
      <c r="L10" s="596">
        <f t="shared" si="0"/>
        <v>0</v>
      </c>
      <c r="M10" s="647">
        <f>SUM(K10*1000)+L10+0.051</f>
        <v>5.0999999999999997E-2</v>
      </c>
      <c r="N10" s="596" t="str">
        <f>IF(F10="","",RANK(M10,M6:M70,0))</f>
        <v/>
      </c>
      <c r="O10" s="596"/>
      <c r="P10" s="647"/>
      <c r="Q10" s="611"/>
      <c r="R10" s="880"/>
      <c r="S10" s="540"/>
      <c r="T10" s="529"/>
      <c r="U10" s="529"/>
      <c r="V10" s="529"/>
      <c r="W10" s="529"/>
      <c r="X10" s="529"/>
      <c r="Y10" s="529"/>
      <c r="Z10" s="529"/>
      <c r="AA10" s="529"/>
      <c r="AB10" s="541"/>
      <c r="AC10" s="532"/>
      <c r="AD10" s="863"/>
      <c r="AE10" s="608"/>
      <c r="AF10" s="506"/>
      <c r="AG10" s="94">
        <f t="shared" si="1"/>
        <v>5</v>
      </c>
      <c r="AH10" s="95" t="str">
        <f>IF(AF6&lt;5,"",VLOOKUP(5,B6:N70,4,FALSE))</f>
        <v/>
      </c>
      <c r="AI10" s="94" t="str">
        <f>IF(AF6&lt;5,"",VLOOKUP(5,B6:N70,10,FALSE))</f>
        <v/>
      </c>
      <c r="AJ10" s="506"/>
      <c r="AK10" s="561"/>
      <c r="AL10" s="476">
        <v>4</v>
      </c>
      <c r="AM10" s="564" t="str">
        <f>IF(AK6&lt;4,"",VLOOKUP(4,U6:W70,2,FALSE))</f>
        <v/>
      </c>
      <c r="AN10" s="669" t="str">
        <f>IF(AK6&lt;4,"",VLOOKUP(4,U6:W70,3,FALSE))</f>
        <v/>
      </c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6"/>
      <c r="C11" s="523"/>
      <c r="D11" s="593"/>
      <c r="E11" s="497"/>
      <c r="F11" s="591">
        <f>SUM(F6:F10)</f>
        <v>0</v>
      </c>
      <c r="G11" s="591">
        <f>SUM(G6:G10)</f>
        <v>0</v>
      </c>
      <c r="H11" s="591">
        <f>SUM(H6:H10)</f>
        <v>0</v>
      </c>
      <c r="I11" s="591">
        <f>SUM(I6:I10)</f>
        <v>0</v>
      </c>
      <c r="J11" s="591">
        <f>SUM(J6:J10)</f>
        <v>0</v>
      </c>
      <c r="K11" s="587"/>
      <c r="L11" s="587">
        <f t="shared" si="0"/>
        <v>0</v>
      </c>
      <c r="M11" s="587"/>
      <c r="N11" s="587"/>
      <c r="O11" s="588">
        <f>SUM(F11:J11)</f>
        <v>0</v>
      </c>
      <c r="P11" s="660">
        <f>MAX(F11:J11)+0.01</f>
        <v>0.01</v>
      </c>
      <c r="Q11" s="659" t="str">
        <f>IF(F6="","",SUM(O11*1000)+P11)</f>
        <v/>
      </c>
      <c r="R11" s="592"/>
      <c r="S11" s="536"/>
      <c r="T11" s="536"/>
      <c r="U11" s="536"/>
      <c r="V11" s="536"/>
      <c r="W11" s="536"/>
      <c r="X11" s="536"/>
      <c r="Y11" s="536"/>
      <c r="Z11" s="536"/>
      <c r="AA11" s="536"/>
      <c r="AB11" s="594"/>
      <c r="AC11" s="532"/>
      <c r="AD11" s="863"/>
      <c r="AE11" s="608"/>
      <c r="AF11" s="506"/>
      <c r="AG11" s="94">
        <f t="shared" si="1"/>
        <v>6</v>
      </c>
      <c r="AH11" s="95" t="str">
        <f>IF(AF6&lt;6,"",VLOOKUP(6,B6:N70,4,FALSE))</f>
        <v/>
      </c>
      <c r="AI11" s="94" t="str">
        <f>IF(AF6&lt;6,"",VLOOKUP(6,B6:N70,10,FALSE))</f>
        <v/>
      </c>
      <c r="AJ11" s="506"/>
      <c r="AK11" s="561"/>
      <c r="AL11" s="476">
        <v>5</v>
      </c>
      <c r="AM11" s="564" t="str">
        <f>IF(AK6&lt;5,"",VLOOKUP(5,U6:W70,2,FALSE))</f>
        <v/>
      </c>
      <c r="AN11" s="669" t="str">
        <f>IF(AK6&lt;5,"",VLOOKUP(5,U6:W70,3,FALSE))</f>
        <v/>
      </c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6"/>
      <c r="B12" t="str">
        <f>IF(F12="","",N12)</f>
        <v/>
      </c>
      <c r="C12" s="872">
        <v>2</v>
      </c>
      <c r="D12" s="917" t="s">
        <v>139</v>
      </c>
      <c r="E12" s="704"/>
      <c r="F12" s="709"/>
      <c r="G12" s="709"/>
      <c r="H12" s="709"/>
      <c r="I12" s="709"/>
      <c r="J12" s="709"/>
      <c r="K12" s="595">
        <f>SUM(F12:J12)</f>
        <v>0</v>
      </c>
      <c r="L12" s="595">
        <f t="shared" si="0"/>
        <v>0</v>
      </c>
      <c r="M12" s="645">
        <f>SUM(K12*1000)+L12+0.05</f>
        <v>0.05</v>
      </c>
      <c r="N12" s="595" t="str">
        <f>IF(F12="","",RANK(M12,M6:M70,0))</f>
        <v/>
      </c>
      <c r="O12" s="595"/>
      <c r="P12" s="645"/>
      <c r="Q12" s="612"/>
      <c r="R12" s="890" t="str">
        <f>IF(F12="","",RANK(Q17,Q11:Q71,0))</f>
        <v/>
      </c>
      <c r="S12" s="537"/>
      <c r="T12" s="527"/>
      <c r="U12" s="543" t="str">
        <f>IF(R12="","",R12)</f>
        <v/>
      </c>
      <c r="V12" s="544" t="str">
        <f>IF(D12="","",D12)</f>
        <v>KLÍČOV II.</v>
      </c>
      <c r="W12" s="547">
        <f>IF(O17="","",O17)</f>
        <v>0</v>
      </c>
      <c r="X12" s="527"/>
      <c r="Y12" s="527"/>
      <c r="Z12" s="527"/>
      <c r="AA12" s="527"/>
      <c r="AB12" s="548"/>
      <c r="AC12" s="532"/>
      <c r="AD12" s="863"/>
      <c r="AE12" s="608"/>
      <c r="AF12" s="506"/>
      <c r="AG12" s="94">
        <f t="shared" si="1"/>
        <v>7</v>
      </c>
      <c r="AH12" s="95" t="str">
        <f>IF(AF6&lt;7,"",VLOOKUP(7,B6:N70,4,FALSE))</f>
        <v/>
      </c>
      <c r="AI12" s="94" t="str">
        <f>IF(AF6&lt;7,"",VLOOKUP(7,B6:N70,10,FALSE))</f>
        <v/>
      </c>
      <c r="AJ12" s="506"/>
      <c r="AK12" s="561"/>
      <c r="AL12" s="476">
        <v>6</v>
      </c>
      <c r="AM12" s="564" t="str">
        <f>IF(AK6&lt;6,"",VLOOKUP(6,U6:W70,2,FALSE))</f>
        <v/>
      </c>
      <c r="AN12" s="669" t="str">
        <f>IF(AK6&lt;6,"",VLOOKUP(6,U6:W70,3,FALSE))</f>
        <v/>
      </c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6"/>
      <c r="B13" t="str">
        <f>IF(F13="","",N13)</f>
        <v/>
      </c>
      <c r="C13" s="873"/>
      <c r="D13" s="918"/>
      <c r="E13" s="703"/>
      <c r="F13" s="710"/>
      <c r="G13" s="710"/>
      <c r="H13" s="710"/>
      <c r="I13" s="710"/>
      <c r="J13" s="710"/>
      <c r="K13" s="585">
        <f>SUM(F13:J13)</f>
        <v>0</v>
      </c>
      <c r="L13" s="585">
        <f t="shared" si="0"/>
        <v>0</v>
      </c>
      <c r="M13" s="646">
        <f>SUM(K13*1000)+L13+0.049</f>
        <v>4.9000000000000002E-2</v>
      </c>
      <c r="N13" s="585" t="str">
        <f>IF(F13="","",RANK(M13,M6:M70,0))</f>
        <v/>
      </c>
      <c r="O13" s="585"/>
      <c r="P13" s="646"/>
      <c r="Q13" s="613"/>
      <c r="R13" s="891"/>
      <c r="S13" s="538"/>
      <c r="T13" s="528"/>
      <c r="U13" s="528"/>
      <c r="V13" s="528"/>
      <c r="W13" s="528"/>
      <c r="X13" s="528"/>
      <c r="Y13" s="528"/>
      <c r="Z13" s="528"/>
      <c r="AA13" s="528"/>
      <c r="AB13" s="539"/>
      <c r="AC13" s="532"/>
      <c r="AD13" s="863"/>
      <c r="AE13" s="608"/>
      <c r="AF13" s="506"/>
      <c r="AG13" s="94">
        <f t="shared" si="1"/>
        <v>8</v>
      </c>
      <c r="AH13" s="95" t="str">
        <f>IF(AF6&lt;8,"",VLOOKUP(8,B6:N70,4,FALSE))</f>
        <v/>
      </c>
      <c r="AI13" s="94" t="str">
        <f>IF(AF6&lt;8,"",VLOOKUP(8,B6:N70,10,FALSE))</f>
        <v/>
      </c>
      <c r="AJ13" s="506"/>
      <c r="AK13" s="561"/>
      <c r="AL13" s="476">
        <v>7</v>
      </c>
      <c r="AM13" s="564" t="str">
        <f>IF(AK6&lt;7,"",VLOOKUP(7,U6:W70,2,FALSE))</f>
        <v/>
      </c>
      <c r="AN13" s="669" t="str">
        <f>IF(AK6&lt;7,"",VLOOKUP(7,U6:W70,3,FALSE))</f>
        <v/>
      </c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6"/>
      <c r="B14" t="str">
        <f>IF(F14="","",N14)</f>
        <v/>
      </c>
      <c r="C14" s="873"/>
      <c r="D14" s="918"/>
      <c r="E14" s="703"/>
      <c r="F14" s="710"/>
      <c r="G14" s="710"/>
      <c r="H14" s="710"/>
      <c r="I14" s="710"/>
      <c r="J14" s="710"/>
      <c r="K14" s="585">
        <f>SUM(F14:J14)</f>
        <v>0</v>
      </c>
      <c r="L14" s="585">
        <f t="shared" si="0"/>
        <v>0</v>
      </c>
      <c r="M14" s="646">
        <f>SUM(K14*1000)+L14+0.048</f>
        <v>4.8000000000000001E-2</v>
      </c>
      <c r="N14" s="585" t="str">
        <f>IF(F14="","",RANK(M14,M6:M70,0))</f>
        <v/>
      </c>
      <c r="O14" s="585"/>
      <c r="P14" s="646"/>
      <c r="Q14" s="613"/>
      <c r="R14" s="891"/>
      <c r="S14" s="538"/>
      <c r="T14" s="528"/>
      <c r="U14" s="528"/>
      <c r="V14" s="528"/>
      <c r="W14" s="528"/>
      <c r="X14" s="528"/>
      <c r="Y14" s="528"/>
      <c r="Z14" s="528"/>
      <c r="AA14" s="528"/>
      <c r="AB14" s="539"/>
      <c r="AC14" s="532"/>
      <c r="AD14" s="863"/>
      <c r="AE14" s="608"/>
      <c r="AF14" s="506"/>
      <c r="AG14" s="94">
        <f t="shared" si="1"/>
        <v>9</v>
      </c>
      <c r="AH14" s="95" t="str">
        <f>IF(AF6&lt;9,"",VLOOKUP(9,B6:N70,4,FALSE))</f>
        <v/>
      </c>
      <c r="AI14" s="94" t="str">
        <f>IF(AF6&lt;9,"",VLOOKUP(9,B6:N70,10,FALSE))</f>
        <v/>
      </c>
      <c r="AJ14" s="506"/>
      <c r="AK14" s="561"/>
      <c r="AL14" s="476">
        <v>8</v>
      </c>
      <c r="AM14" s="564" t="str">
        <f>IF(AK6&lt;8,"",VLOOKUP(8,U6:W70,2,FALSE))</f>
        <v/>
      </c>
      <c r="AN14" s="669" t="str">
        <f>IF(AK6&lt;8,"",VLOOKUP(8,U6:W70,3,FALSE))</f>
        <v/>
      </c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6"/>
      <c r="B15" t="str">
        <f>IF(F15="","",N15)</f>
        <v/>
      </c>
      <c r="C15" s="873"/>
      <c r="D15" s="918"/>
      <c r="E15" s="703"/>
      <c r="F15" s="710"/>
      <c r="G15" s="710"/>
      <c r="H15" s="710"/>
      <c r="I15" s="710"/>
      <c r="J15" s="710"/>
      <c r="K15" s="585">
        <f>SUM(F15:J15)</f>
        <v>0</v>
      </c>
      <c r="L15" s="585">
        <f t="shared" si="0"/>
        <v>0</v>
      </c>
      <c r="M15" s="646">
        <f>SUM(K15*1000)+L15+0.047</f>
        <v>4.7E-2</v>
      </c>
      <c r="N15" s="585" t="str">
        <f>IF(F15="","",RANK(M15,M6:M700,0))</f>
        <v/>
      </c>
      <c r="O15" s="585"/>
      <c r="P15" s="646"/>
      <c r="Q15" s="613"/>
      <c r="R15" s="891"/>
      <c r="S15" s="538"/>
      <c r="T15" s="528"/>
      <c r="U15" s="528"/>
      <c r="V15" s="528"/>
      <c r="W15" s="528"/>
      <c r="X15" s="528"/>
      <c r="Y15" s="528"/>
      <c r="Z15" s="528"/>
      <c r="AA15" s="528"/>
      <c r="AB15" s="539"/>
      <c r="AC15" s="532"/>
      <c r="AD15" s="863"/>
      <c r="AE15" s="608"/>
      <c r="AF15" s="506"/>
      <c r="AG15" s="94">
        <f t="shared" si="1"/>
        <v>10</v>
      </c>
      <c r="AH15" s="98" t="str">
        <f>IF(AF6&lt;10,"",VLOOKUP(10,B6:N70,4,FALSE))</f>
        <v/>
      </c>
      <c r="AI15" s="94" t="str">
        <f>IF(AF6&lt;10,"",VLOOKUP(10,B6:N70,10,FALSE))</f>
        <v/>
      </c>
      <c r="AJ15" s="506"/>
      <c r="AK15" s="561"/>
      <c r="AL15" s="476">
        <v>9</v>
      </c>
      <c r="AM15" s="564" t="str">
        <f>IF(AK6&lt;9,"",VLOOKUP(9,U6:W70,2,FALSE))</f>
        <v/>
      </c>
      <c r="AN15" s="669" t="str">
        <f>IF(AK6&lt;9,"",VLOOKUP(9,U6:W70,3,FALSE))</f>
        <v/>
      </c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6"/>
      <c r="B16" t="str">
        <f>IF(F16="","",N16)</f>
        <v/>
      </c>
      <c r="C16" s="874"/>
      <c r="D16" s="919"/>
      <c r="E16" s="703"/>
      <c r="F16" s="711"/>
      <c r="G16" s="711"/>
      <c r="H16" s="711"/>
      <c r="I16" s="711"/>
      <c r="J16" s="711"/>
      <c r="K16" s="596">
        <f>SUM(F16:J16)</f>
        <v>0</v>
      </c>
      <c r="L16" s="596">
        <f t="shared" si="0"/>
        <v>0</v>
      </c>
      <c r="M16" s="647">
        <f>SUM(K16*1000)+L16+0.046</f>
        <v>4.5999999999999999E-2</v>
      </c>
      <c r="N16" s="596" t="str">
        <f>IF(F16="","",RANK(M16,M6:M70,0))</f>
        <v/>
      </c>
      <c r="O16" s="596"/>
      <c r="P16" s="647"/>
      <c r="Q16" s="614"/>
      <c r="R16" s="892"/>
      <c r="S16" s="540"/>
      <c r="T16" s="529"/>
      <c r="U16" s="529"/>
      <c r="V16" s="529"/>
      <c r="W16" s="529"/>
      <c r="X16" s="529"/>
      <c r="Y16" s="529"/>
      <c r="Z16" s="529"/>
      <c r="AA16" s="529"/>
      <c r="AB16" s="541"/>
      <c r="AC16" s="536"/>
      <c r="AD16" s="864"/>
      <c r="AE16" s="608"/>
      <c r="AF16" s="506"/>
      <c r="AG16" s="94">
        <f t="shared" si="1"/>
        <v>11</v>
      </c>
      <c r="AH16" s="98" t="str">
        <f>IF(AF6&lt;11,"",VLOOKUP(11,B6:N70,4,FALSE))</f>
        <v/>
      </c>
      <c r="AI16" s="94" t="str">
        <f>IF(AF6&lt;11,"",VLOOKUP(11,B6:N70,10,FALSE))</f>
        <v/>
      </c>
      <c r="AJ16" s="506"/>
      <c r="AK16" s="561"/>
      <c r="AL16" s="476">
        <v>10</v>
      </c>
      <c r="AM16" s="564" t="str">
        <f>IF(AK6&lt;10,"",VLOOKUP(10,U6:W70,2,FALSE))</f>
        <v/>
      </c>
      <c r="AN16" s="669" t="str">
        <f>IF(AK6&lt;10,"",VLOOKUP(10,U6:W70,3,FALSE))</f>
        <v/>
      </c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6"/>
      <c r="B17" s="506"/>
      <c r="C17" s="524"/>
      <c r="D17" s="618"/>
      <c r="E17" s="574"/>
      <c r="F17" s="571">
        <f>SUM(F12:F16)</f>
        <v>0</v>
      </c>
      <c r="G17" s="571">
        <f>SUM(G12:G16)</f>
        <v>0</v>
      </c>
      <c r="H17" s="571">
        <f>SUM(H12:H16)</f>
        <v>0</v>
      </c>
      <c r="I17" s="571">
        <f>SUM(I12:I16)</f>
        <v>0</v>
      </c>
      <c r="J17" s="571">
        <f>SUM(J12:J16)</f>
        <v>0</v>
      </c>
      <c r="K17" s="571"/>
      <c r="L17" s="571"/>
      <c r="M17" s="648"/>
      <c r="N17" s="619"/>
      <c r="O17" s="619">
        <f>SUM(F17:J17)</f>
        <v>0</v>
      </c>
      <c r="P17" s="661">
        <f>MAX(F17:J17)+0.009</f>
        <v>8.9999999999999993E-3</v>
      </c>
      <c r="Q17" s="620" t="str">
        <f>IF(F12="","",SUM(O17*1000)+P17)</f>
        <v/>
      </c>
      <c r="R17" s="621"/>
      <c r="S17" s="622"/>
      <c r="T17" s="622"/>
      <c r="U17" s="622"/>
      <c r="V17" s="622"/>
      <c r="W17" s="506"/>
      <c r="X17" s="506"/>
      <c r="Y17" s="506"/>
      <c r="Z17" s="506"/>
      <c r="AA17" s="506"/>
      <c r="AB17" s="506"/>
      <c r="AC17" s="893">
        <f>SUM(O11,O17)</f>
        <v>0</v>
      </c>
      <c r="AD17" s="893"/>
      <c r="AE17" s="506"/>
      <c r="AF17" s="506"/>
      <c r="AG17" s="94">
        <f t="shared" si="1"/>
        <v>12</v>
      </c>
      <c r="AH17" s="98" t="str">
        <f>IF(AF6&lt;12,"",VLOOKUP(12,B6:N70,4,FALSE))</f>
        <v/>
      </c>
      <c r="AI17" s="94" t="str">
        <f>IF(AF6&lt;12,"",VLOOKUP(12,B6:N70,10,FALSE))</f>
        <v/>
      </c>
      <c r="AJ17" s="506"/>
      <c r="AK17" s="561"/>
      <c r="AL17" s="476">
        <v>11</v>
      </c>
      <c r="AM17" s="564" t="str">
        <f>IF(AK6&lt;11,"",VLOOKUP(11,U6:W70,2,FALSE))</f>
        <v/>
      </c>
      <c r="AN17" s="669" t="str">
        <f>IF(AK6&lt;11,"",VLOOKUP(11,U6:W70,3,FALSE))</f>
        <v/>
      </c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6"/>
      <c r="B18" t="str">
        <f>IF(F18="","",N18)</f>
        <v/>
      </c>
      <c r="C18" s="884">
        <v>3</v>
      </c>
      <c r="D18" s="903" t="s">
        <v>124</v>
      </c>
      <c r="E18" s="704"/>
      <c r="F18" s="709"/>
      <c r="G18" s="709"/>
      <c r="H18" s="709"/>
      <c r="I18" s="709"/>
      <c r="J18" s="709"/>
      <c r="K18" s="582">
        <f>SUM(F18:J18)</f>
        <v>0</v>
      </c>
      <c r="L18" s="582">
        <f>MAX(F18:J18)</f>
        <v>0</v>
      </c>
      <c r="M18" s="649">
        <f>SUM(K18*1000)+L18+0.045</f>
        <v>4.4999999999999998E-2</v>
      </c>
      <c r="N18" s="595" t="str">
        <f>IF(F18="","",RANK(M18,M6:M70,0))</f>
        <v/>
      </c>
      <c r="O18" s="582"/>
      <c r="P18" s="662"/>
      <c r="Q18" s="600"/>
      <c r="R18" s="890" t="str">
        <f>IF(F18="","",RANK(Q23,Q11:Q71,0))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ŘEPY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ŘEPY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6"/>
      <c r="AF18" s="506"/>
      <c r="AG18" s="94">
        <f t="shared" si="1"/>
        <v>13</v>
      </c>
      <c r="AH18" s="98" t="str">
        <f>IF(AF6&lt;13,"",VLOOKUP(13,B6:N70,4,FALSE))</f>
        <v/>
      </c>
      <c r="AI18" s="94" t="str">
        <f>IF(AF6&lt;13,"",VLOOKUP(13,B6:N70,10,FALSE))</f>
        <v/>
      </c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6"/>
      <c r="B19" t="str">
        <f>IF(F19="","",N19)</f>
        <v/>
      </c>
      <c r="C19" s="885"/>
      <c r="D19" s="904"/>
      <c r="E19" s="703"/>
      <c r="F19" s="710"/>
      <c r="G19" s="710"/>
      <c r="H19" s="710"/>
      <c r="I19" s="710"/>
      <c r="J19" s="710"/>
      <c r="K19" s="584">
        <f>SUM(F19:J19)</f>
        <v>0</v>
      </c>
      <c r="L19" s="580">
        <f>MAX(F19:J19)</f>
        <v>0</v>
      </c>
      <c r="M19" s="650">
        <f>SUM(K19*1000)+L19+0.044</f>
        <v>4.3999999999999997E-2</v>
      </c>
      <c r="N19" s="585" t="str">
        <f>IF(F19="","",RANK(M19,M6:M70,0))</f>
        <v/>
      </c>
      <c r="O19" s="584"/>
      <c r="P19" s="663"/>
      <c r="Q19" s="601"/>
      <c r="R19" s="891"/>
      <c r="S19" s="538"/>
      <c r="T19" s="528"/>
      <c r="U19" s="528"/>
      <c r="V19" s="528"/>
      <c r="W19" s="528"/>
      <c r="X19" s="528"/>
      <c r="Y19" s="528"/>
      <c r="Z19" s="528"/>
      <c r="AA19" s="528"/>
      <c r="AB19" s="533"/>
      <c r="AC19" s="555"/>
      <c r="AD19" s="863"/>
      <c r="AE19" s="506"/>
      <c r="AF19" s="506"/>
      <c r="AG19" s="94">
        <f t="shared" si="1"/>
        <v>14</v>
      </c>
      <c r="AH19" s="98" t="str">
        <f>IF(AF6&lt;14,"",VLOOKUP(14,B6:N70,4,FALSE))</f>
        <v/>
      </c>
      <c r="AI19" s="94" t="str">
        <f>IF(AF6&lt;14,"",VLOOKUP(14,B6:N70,10,FALSE))</f>
        <v/>
      </c>
      <c r="AJ19" s="506"/>
      <c r="AK19" s="7">
        <f>COUNT(T6:T64)</f>
        <v>0</v>
      </c>
      <c r="AL19" s="859" t="s">
        <v>181</v>
      </c>
      <c r="AM19" s="860"/>
      <c r="AN19" s="861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6"/>
      <c r="B20" t="str">
        <f>IF(F20="","",N20)</f>
        <v/>
      </c>
      <c r="C20" s="885"/>
      <c r="D20" s="904"/>
      <c r="E20" s="703"/>
      <c r="F20" s="710"/>
      <c r="G20" s="710"/>
      <c r="H20" s="710"/>
      <c r="I20" s="710"/>
      <c r="J20" s="710"/>
      <c r="K20" s="584">
        <f>SUM(F20:J20)</f>
        <v>0</v>
      </c>
      <c r="L20" s="580">
        <f>MAX(F20:J20)</f>
        <v>0</v>
      </c>
      <c r="M20" s="650">
        <f>SUM(K20*1000)+L20+0.043</f>
        <v>4.2999999999999997E-2</v>
      </c>
      <c r="N20" s="585" t="str">
        <f>IF(F20="","",RANK(M20,M6:M70,0))</f>
        <v/>
      </c>
      <c r="O20" s="584"/>
      <c r="P20" s="663"/>
      <c r="Q20" s="601"/>
      <c r="R20" s="891"/>
      <c r="S20" s="538"/>
      <c r="T20" s="528"/>
      <c r="U20" s="528"/>
      <c r="V20" s="528"/>
      <c r="W20" s="528"/>
      <c r="X20" s="528"/>
      <c r="Y20" s="528"/>
      <c r="Z20" s="528"/>
      <c r="AA20" s="528"/>
      <c r="AB20" s="533"/>
      <c r="AC20" s="555"/>
      <c r="AD20" s="863"/>
      <c r="AE20" s="506"/>
      <c r="AF20" s="506"/>
      <c r="AG20" s="94">
        <f t="shared" si="1"/>
        <v>15</v>
      </c>
      <c r="AH20" s="98" t="str">
        <f>IF(AF6&lt;15,"",VLOOKUP(15,B6:N70,4,FALSE))</f>
        <v/>
      </c>
      <c r="AI20" s="94" t="str">
        <f>IF(AF6&lt;15,"",VLOOKUP(15,B6:N70,10,FALSE))</f>
        <v/>
      </c>
      <c r="AJ20" s="506"/>
      <c r="AK20" s="561"/>
      <c r="AL20" s="476">
        <v>1</v>
      </c>
      <c r="AM20" s="473" t="str">
        <f>IF(AK19&lt;1,"",VLOOKUP(1,T6:AB64,5,FALSE))</f>
        <v/>
      </c>
      <c r="AN20" s="670" t="str">
        <f>IF(AK19&lt;1,"",VLOOKUP(1,T6:AB64,9,FALSE))</f>
        <v/>
      </c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6"/>
      <c r="B21" t="str">
        <f>IF(F21="","",N21)</f>
        <v/>
      </c>
      <c r="C21" s="885"/>
      <c r="D21" s="904"/>
      <c r="E21" s="703"/>
      <c r="F21" s="710"/>
      <c r="G21" s="710"/>
      <c r="H21" s="710"/>
      <c r="I21" s="710"/>
      <c r="J21" s="710"/>
      <c r="K21" s="584">
        <f>SUM(F21:J21)</f>
        <v>0</v>
      </c>
      <c r="L21" s="580">
        <f>MAX(F21:J21)</f>
        <v>0</v>
      </c>
      <c r="M21" s="650">
        <f>SUM(K21*1000)+L21+0.042</f>
        <v>4.2000000000000003E-2</v>
      </c>
      <c r="N21" s="585" t="str">
        <f>IF(F21="","",RANK(M21,M6:M70,0))</f>
        <v/>
      </c>
      <c r="O21" s="584"/>
      <c r="P21" s="663"/>
      <c r="Q21" s="601"/>
      <c r="R21" s="891"/>
      <c r="S21" s="538"/>
      <c r="T21" s="528"/>
      <c r="U21" s="528"/>
      <c r="V21" s="528"/>
      <c r="W21" s="528"/>
      <c r="X21" s="528"/>
      <c r="Y21" s="528"/>
      <c r="Z21" s="528"/>
      <c r="AA21" s="528"/>
      <c r="AB21" s="533"/>
      <c r="AC21" s="555"/>
      <c r="AD21" s="863"/>
      <c r="AE21" s="506"/>
      <c r="AF21" s="506"/>
      <c r="AG21" s="94">
        <f t="shared" si="1"/>
        <v>16</v>
      </c>
      <c r="AH21" s="98" t="str">
        <f>IF(AF6&lt;16,"",VLOOKUP(16,B6:N70,4,FALSE))</f>
        <v/>
      </c>
      <c r="AI21" s="94" t="str">
        <f>IF(AF6&lt;16,"",VLOOKUP(16,B6:N70,10,FALSE))</f>
        <v/>
      </c>
      <c r="AJ21" s="506"/>
      <c r="AK21" s="561"/>
      <c r="AL21" s="476">
        <v>2</v>
      </c>
      <c r="AM21" s="474" t="str">
        <f>IF(AK19&lt;2,"",VLOOKUP(2,T6:AB64,5,FALSE))</f>
        <v/>
      </c>
      <c r="AN21" s="670" t="str">
        <f>IF(AK19&lt;2,"",VLOOKUP(2,T6:AB64,9,FALSE))</f>
        <v/>
      </c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6"/>
      <c r="B22" t="str">
        <f>IF(F22="","",N22)</f>
        <v/>
      </c>
      <c r="C22" s="886"/>
      <c r="D22" s="905"/>
      <c r="E22" s="703"/>
      <c r="F22" s="711"/>
      <c r="G22" s="711"/>
      <c r="H22" s="711"/>
      <c r="I22" s="711"/>
      <c r="J22" s="711"/>
      <c r="K22" s="598">
        <f>SUM(F22:J22)</f>
        <v>0</v>
      </c>
      <c r="L22" s="588">
        <f>MAX(F22:J22)</f>
        <v>0</v>
      </c>
      <c r="M22" s="651">
        <f>SUM(K22*1000)+L22+0.041</f>
        <v>4.1000000000000002E-2</v>
      </c>
      <c r="N22" s="596" t="str">
        <f>IF(F22="","",RANK(M22,M6:M70,0))</f>
        <v/>
      </c>
      <c r="O22" s="598"/>
      <c r="P22" s="664"/>
      <c r="Q22" s="602"/>
      <c r="R22" s="892"/>
      <c r="S22" s="540"/>
      <c r="T22" s="529"/>
      <c r="U22" s="529"/>
      <c r="V22" s="529"/>
      <c r="W22" s="529"/>
      <c r="X22" s="529"/>
      <c r="Y22" s="529"/>
      <c r="Z22" s="529"/>
      <c r="AA22" s="529"/>
      <c r="AB22" s="534"/>
      <c r="AC22" s="555"/>
      <c r="AD22" s="863"/>
      <c r="AE22" s="506"/>
      <c r="AF22" s="506"/>
      <c r="AG22" s="94">
        <f t="shared" si="1"/>
        <v>17</v>
      </c>
      <c r="AH22" s="98" t="str">
        <f>IF(AF6&lt;17,"",VLOOKUP(17,B6:N70,4,FALSE))</f>
        <v/>
      </c>
      <c r="AI22" s="94" t="str">
        <f>IF(AF6&lt;17,"",VLOOKUP(17,B6:N70,10,FALSE))</f>
        <v/>
      </c>
      <c r="AJ22" s="506"/>
      <c r="AK22" s="561"/>
      <c r="AL22" s="476">
        <v>3</v>
      </c>
      <c r="AM22" s="474" t="str">
        <f>IF(AK19&lt;3,"",VLOOKUP(3,T6:AB64,5,FALSE))</f>
        <v/>
      </c>
      <c r="AN22" s="670" t="str">
        <f>IF(AK19&lt;3,"",VLOOKUP(3,T6:AB64,9,FALSE))</f>
        <v/>
      </c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6"/>
      <c r="C23" s="523"/>
      <c r="D23" s="593"/>
      <c r="E23" s="497"/>
      <c r="F23" s="590">
        <f>SUM(F18:F22)</f>
        <v>0</v>
      </c>
      <c r="G23" s="590">
        <f>SUM(G18:G22)</f>
        <v>0</v>
      </c>
      <c r="H23" s="590">
        <f>SUM(H18:H22)</f>
        <v>0</v>
      </c>
      <c r="I23" s="590">
        <f>SUM(I18:I22)</f>
        <v>0</v>
      </c>
      <c r="J23" s="590">
        <f>SUM(J18:J22)</f>
        <v>0</v>
      </c>
      <c r="K23" s="575"/>
      <c r="L23" s="575"/>
      <c r="M23" s="652"/>
      <c r="N23" s="587"/>
      <c r="O23" s="588">
        <f>SUM(F23:J23)</f>
        <v>0</v>
      </c>
      <c r="P23" s="660">
        <f>MAX(F23:J23)+0.008</f>
        <v>8.0000000000000002E-3</v>
      </c>
      <c r="Q23" s="589" t="str">
        <f>IF(F18="","",SUM(O23*1000)+P23)</f>
        <v/>
      </c>
      <c r="R23" s="592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2"/>
      <c r="AD23" s="863"/>
      <c r="AE23" s="506"/>
      <c r="AF23" s="506"/>
      <c r="AG23" s="94">
        <f t="shared" si="1"/>
        <v>18</v>
      </c>
      <c r="AH23" s="98" t="str">
        <f>IF(AF6&lt;18,"",VLOOKUP(18,B6:N70,4,FALSE))</f>
        <v/>
      </c>
      <c r="AI23" s="94" t="str">
        <f>IF(AF6&lt;18,"",VLOOKUP(18,B6:N70,10,FALSE))</f>
        <v/>
      </c>
      <c r="AJ23" s="506"/>
      <c r="AK23" s="561"/>
      <c r="AL23" s="476">
        <v>4</v>
      </c>
      <c r="AM23" s="474" t="str">
        <f>IF(AK19&lt;4,"",VLOOKUP(4,T6:AB64,5,FALSE))</f>
        <v/>
      </c>
      <c r="AN23" s="670" t="str">
        <f>IF(AK19&lt;4,"",VLOOKUP(4,T6:AB64,9,FALSE))</f>
        <v/>
      </c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6"/>
      <c r="B24" t="str">
        <f>IF(F24="","",N24)</f>
        <v/>
      </c>
      <c r="C24" s="884">
        <v>4</v>
      </c>
      <c r="D24" s="903" t="s">
        <v>127</v>
      </c>
      <c r="E24" s="704"/>
      <c r="F24" s="709"/>
      <c r="G24" s="709"/>
      <c r="H24" s="709"/>
      <c r="I24" s="709"/>
      <c r="J24" s="709"/>
      <c r="K24" s="582">
        <f>SUM(F24:J24)</f>
        <v>0</v>
      </c>
      <c r="L24" s="582">
        <f>MAX(F24:J24)</f>
        <v>0</v>
      </c>
      <c r="M24" s="649">
        <f>SUM(K24*1000)+L24+0.04</f>
        <v>0.04</v>
      </c>
      <c r="N24" s="595" t="str">
        <f>IF(F24="","",RANK(M24,M6:M70,0))</f>
        <v/>
      </c>
      <c r="O24" s="582"/>
      <c r="P24" s="662"/>
      <c r="Q24" s="597"/>
      <c r="R24" s="890" t="str">
        <f>IF(F24="","",RANK(Q29,Q11:Q71,0))</f>
        <v/>
      </c>
      <c r="S24" s="537"/>
      <c r="T24" s="527"/>
      <c r="U24" s="543" t="str">
        <f>IF(R24="","",R24)</f>
        <v/>
      </c>
      <c r="V24" s="544" t="str">
        <f>IF(D24="","",D24)</f>
        <v>ŘEPY II.</v>
      </c>
      <c r="W24" s="547">
        <f>IF(O29="","",O29)</f>
        <v>0</v>
      </c>
      <c r="X24" s="527"/>
      <c r="Y24" s="527"/>
      <c r="Z24" s="527"/>
      <c r="AA24" s="527"/>
      <c r="AB24" s="558"/>
      <c r="AC24" s="555"/>
      <c r="AD24" s="863"/>
      <c r="AE24" s="506"/>
      <c r="AF24" s="506"/>
      <c r="AG24" s="94">
        <f t="shared" si="1"/>
        <v>19</v>
      </c>
      <c r="AH24" s="98" t="str">
        <f>IF(AF6&lt;19,"",VLOOKUP(19,B6:N70,4,FALSE))</f>
        <v/>
      </c>
      <c r="AI24" s="94" t="str">
        <f>IF(AF6&lt;19,"",VLOOKUP(19,B6:N70,10,FALSE))</f>
        <v/>
      </c>
      <c r="AJ24" s="506"/>
      <c r="AK24" s="561"/>
      <c r="AL24" s="476">
        <v>5</v>
      </c>
      <c r="AM24" s="474" t="str">
        <f>IF(AK19&lt;5,"",VLOOKUP(5,T6:AB64,5,FALSE))</f>
        <v/>
      </c>
      <c r="AN24" s="670" t="str">
        <f>IF(AK19&lt;5,"",VLOOKUP(5,T6:AB64,9,FALSE))</f>
        <v/>
      </c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6"/>
      <c r="B25" t="str">
        <f>IF(F25="","",N25)</f>
        <v/>
      </c>
      <c r="C25" s="885"/>
      <c r="D25" s="904"/>
      <c r="E25" s="703"/>
      <c r="F25" s="710"/>
      <c r="G25" s="710"/>
      <c r="H25" s="710"/>
      <c r="I25" s="710"/>
      <c r="J25" s="710"/>
      <c r="K25" s="584">
        <f>SUM(F25:J25)</f>
        <v>0</v>
      </c>
      <c r="L25" s="580">
        <f>MAX(F25:J25)</f>
        <v>0</v>
      </c>
      <c r="M25" s="650">
        <f>SUM(K25*1000)+L25+0.039</f>
        <v>3.9E-2</v>
      </c>
      <c r="N25" s="585" t="str">
        <f>IF(F25="","",RANK(M25,M6:M70,0))</f>
        <v/>
      </c>
      <c r="O25" s="584"/>
      <c r="P25" s="663"/>
      <c r="Q25" s="586"/>
      <c r="R25" s="891"/>
      <c r="S25" s="538"/>
      <c r="T25" s="528"/>
      <c r="U25" s="528"/>
      <c r="V25" s="528"/>
      <c r="W25" s="528"/>
      <c r="X25" s="528"/>
      <c r="Y25" s="528"/>
      <c r="Z25" s="528"/>
      <c r="AA25" s="528"/>
      <c r="AB25" s="533"/>
      <c r="AC25" s="555"/>
      <c r="AD25" s="863"/>
      <c r="AE25" s="506"/>
      <c r="AF25" s="506"/>
      <c r="AG25" s="94">
        <f t="shared" si="1"/>
        <v>20</v>
      </c>
      <c r="AH25" s="98" t="str">
        <f>IF(AF6&lt;20,"",VLOOKUP(20,B6:N70,4,FALSE))</f>
        <v/>
      </c>
      <c r="AI25" s="94" t="str">
        <f>IF(AF6&lt;20,"",VLOOKUP(20,B6:N70,10,FALSE))</f>
        <v/>
      </c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6"/>
      <c r="B26" t="str">
        <f>IF(F26="","",N26)</f>
        <v/>
      </c>
      <c r="C26" s="885"/>
      <c r="D26" s="904"/>
      <c r="E26" s="703"/>
      <c r="F26" s="710"/>
      <c r="G26" s="710"/>
      <c r="H26" s="710"/>
      <c r="I26" s="710"/>
      <c r="J26" s="710"/>
      <c r="K26" s="584">
        <f>SUM(F26:J26)</f>
        <v>0</v>
      </c>
      <c r="L26" s="580">
        <f>MAX(F26:J26)</f>
        <v>0</v>
      </c>
      <c r="M26" s="650">
        <f>SUM(K26*1000)+L26+0.038</f>
        <v>3.7999999999999999E-2</v>
      </c>
      <c r="N26" s="585" t="str">
        <f>IF(F26="","",RANK(M26,M6:M70,0))</f>
        <v/>
      </c>
      <c r="O26" s="584"/>
      <c r="P26" s="663"/>
      <c r="Q26" s="586"/>
      <c r="R26" s="891"/>
      <c r="S26" s="538"/>
      <c r="T26" s="528"/>
      <c r="U26" s="528"/>
      <c r="V26" s="528"/>
      <c r="W26" s="528"/>
      <c r="X26" s="528"/>
      <c r="Y26" s="528"/>
      <c r="Z26" s="528"/>
      <c r="AA26" s="528"/>
      <c r="AB26" s="533"/>
      <c r="AC26" s="555"/>
      <c r="AD26" s="863"/>
      <c r="AE26" s="506"/>
      <c r="AF26" s="506"/>
      <c r="AG26" s="94">
        <f t="shared" si="1"/>
        <v>21</v>
      </c>
      <c r="AH26" s="98" t="str">
        <f>IF(AF6&lt;21,"",VLOOKUP(21,B6:N70,4,FALSE))</f>
        <v/>
      </c>
      <c r="AI26" s="94" t="str">
        <f>IF(AF6&lt;21,"",VLOOKUP(21,B6:N70,10,FALSE))</f>
        <v/>
      </c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6"/>
      <c r="B27" t="str">
        <f>IF(F27="","",N27)</f>
        <v/>
      </c>
      <c r="C27" s="885"/>
      <c r="D27" s="904"/>
      <c r="E27" s="703"/>
      <c r="F27" s="710"/>
      <c r="G27" s="710"/>
      <c r="H27" s="710"/>
      <c r="I27" s="710"/>
      <c r="J27" s="710"/>
      <c r="K27" s="584">
        <f>SUM(F27:J27)</f>
        <v>0</v>
      </c>
      <c r="L27" s="580">
        <f>MAX(F27:J27)</f>
        <v>0</v>
      </c>
      <c r="M27" s="650">
        <f>SUM(K27*1000)+L27+0.037</f>
        <v>3.6999999999999998E-2</v>
      </c>
      <c r="N27" s="585" t="str">
        <f>IF(F27="","",RANK(M27,M6:M70,0))</f>
        <v/>
      </c>
      <c r="O27" s="584"/>
      <c r="P27" s="663"/>
      <c r="Q27" s="586"/>
      <c r="R27" s="891"/>
      <c r="S27" s="538"/>
      <c r="T27" s="528"/>
      <c r="U27" s="528"/>
      <c r="V27" s="528"/>
      <c r="W27" s="528"/>
      <c r="X27" s="528"/>
      <c r="Y27" s="528"/>
      <c r="Z27" s="528"/>
      <c r="AA27" s="528"/>
      <c r="AB27" s="533"/>
      <c r="AC27" s="555"/>
      <c r="AD27" s="863"/>
      <c r="AE27" s="506"/>
      <c r="AF27" s="506"/>
      <c r="AG27" s="94">
        <f t="shared" si="1"/>
        <v>22</v>
      </c>
      <c r="AH27" s="98" t="str">
        <f>IF(AF6&lt;22,"",VLOOKUP(22,B6:N70,4,FALSE))</f>
        <v/>
      </c>
      <c r="AI27" s="94" t="str">
        <f>IF(AF6&lt;22,"",VLOOKUP(22,B6:N70,10,FALSE))</f>
        <v/>
      </c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6"/>
      <c r="B28" t="str">
        <f>IF(F28="","",N28)</f>
        <v/>
      </c>
      <c r="C28" s="886"/>
      <c r="D28" s="905"/>
      <c r="E28" s="703"/>
      <c r="F28" s="711"/>
      <c r="G28" s="711"/>
      <c r="H28" s="711"/>
      <c r="I28" s="711"/>
      <c r="J28" s="711"/>
      <c r="K28" s="598">
        <f>SUM(F28:J28)</f>
        <v>0</v>
      </c>
      <c r="L28" s="588">
        <f>MAX(F28:J28)</f>
        <v>0</v>
      </c>
      <c r="M28" s="651">
        <f>SUM(K28*1000)+L28+0.036</f>
        <v>3.5999999999999997E-2</v>
      </c>
      <c r="N28" s="596" t="str">
        <f>IF(F28="","",RANK(M28,M6:M70,0))</f>
        <v/>
      </c>
      <c r="O28" s="598"/>
      <c r="P28" s="664"/>
      <c r="Q28" s="599"/>
      <c r="R28" s="892"/>
      <c r="S28" s="540"/>
      <c r="T28" s="529"/>
      <c r="U28" s="529"/>
      <c r="V28" s="529"/>
      <c r="W28" s="529"/>
      <c r="X28" s="529"/>
      <c r="Y28" s="529"/>
      <c r="Z28" s="529"/>
      <c r="AA28" s="529"/>
      <c r="AB28" s="534"/>
      <c r="AC28" s="542"/>
      <c r="AD28" s="864"/>
      <c r="AE28" s="506"/>
      <c r="AF28" s="506"/>
      <c r="AG28" s="94">
        <f t="shared" si="1"/>
        <v>23</v>
      </c>
      <c r="AH28" s="98" t="str">
        <f>IF(AF6&lt;23,"",VLOOKUP(23,B6:N70,4,FALSE))</f>
        <v/>
      </c>
      <c r="AI28" s="94" t="str">
        <f>IF(AF6&lt;23,"",VLOOKUP(23,B6:N70,10,FALSE))</f>
        <v/>
      </c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6"/>
      <c r="C29" s="524"/>
      <c r="D29" s="618"/>
      <c r="E29" s="574"/>
      <c r="F29" s="571">
        <f>SUM(F24:F28)</f>
        <v>0</v>
      </c>
      <c r="G29" s="571">
        <f>SUM(G24:G28)</f>
        <v>0</v>
      </c>
      <c r="H29" s="571">
        <f>SUM(H24:H28)</f>
        <v>0</v>
      </c>
      <c r="I29" s="571">
        <f>SUM(I24:I28)</f>
        <v>0</v>
      </c>
      <c r="J29" s="571">
        <f>SUM(J24:J28)</f>
        <v>0</v>
      </c>
      <c r="K29" s="619"/>
      <c r="L29" s="619"/>
      <c r="M29" s="648"/>
      <c r="N29" s="619"/>
      <c r="O29" s="619">
        <f>SUM(F29:J29)</f>
        <v>0</v>
      </c>
      <c r="P29" s="661">
        <f>MAX(F29:J29)+0.007</f>
        <v>7.0000000000000001E-3</v>
      </c>
      <c r="Q29" s="620" t="str">
        <f>IF(F24="","",SUM(O29*1000)+P29)</f>
        <v/>
      </c>
      <c r="R29" s="621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893">
        <f>SUM(O23,O29)</f>
        <v>0</v>
      </c>
      <c r="AD29" s="893"/>
      <c r="AE29" s="506"/>
      <c r="AF29" s="506"/>
      <c r="AG29" s="94">
        <f t="shared" si="1"/>
        <v>24</v>
      </c>
      <c r="AH29" s="98" t="str">
        <f>IF(AF6&lt;24,"",VLOOKUP(24,B6:N70,4,FALSE))</f>
        <v/>
      </c>
      <c r="AI29" s="94" t="str">
        <f>IF(AF6&lt;24,"",VLOOKUP(24,B6:N70,10,FALSE))</f>
        <v/>
      </c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6"/>
      <c r="B30" t="str">
        <f>IF(F30="","",N30)</f>
        <v/>
      </c>
      <c r="C30" s="884">
        <v>5</v>
      </c>
      <c r="D30" s="875" t="s">
        <v>131</v>
      </c>
      <c r="E30" s="704"/>
      <c r="F30" s="709"/>
      <c r="G30" s="709"/>
      <c r="H30" s="709"/>
      <c r="I30" s="709"/>
      <c r="J30" s="709"/>
      <c r="K30" s="582">
        <f>SUM(F30:J30)</f>
        <v>0</v>
      </c>
      <c r="L30" s="582">
        <f>MAX(F30:J30)</f>
        <v>0</v>
      </c>
      <c r="M30" s="649">
        <f>SUM(K30*1000)+L30+0.035</f>
        <v>3.5000000000000003E-2</v>
      </c>
      <c r="N30" s="595" t="str">
        <f>IF(F30="","",RANK(M30,M6:M70,0))</f>
        <v/>
      </c>
      <c r="O30" s="582"/>
      <c r="P30" s="662"/>
      <c r="Q30" s="597"/>
      <c r="R30" s="881" t="str">
        <f>IF(F30="","",RANK(Q35,Q11:Q71,0))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KAČEROV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KAČEROV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6"/>
      <c r="AF30" s="506"/>
      <c r="AG30" s="94">
        <f t="shared" si="1"/>
        <v>25</v>
      </c>
      <c r="AH30" s="98" t="str">
        <f>IF(AF6&lt;25,"",VLOOKUP(25,B6:N70,4,FALSE))</f>
        <v/>
      </c>
      <c r="AI30" s="94" t="str">
        <f>IF(AF6&lt;25,"",VLOOKUP(25,B6:N70,10,FALSE))</f>
        <v/>
      </c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6"/>
      <c r="B31" t="str">
        <f>IF(F31="","",N31)</f>
        <v/>
      </c>
      <c r="C31" s="885"/>
      <c r="D31" s="876"/>
      <c r="E31" s="703"/>
      <c r="F31" s="710"/>
      <c r="G31" s="710"/>
      <c r="H31" s="710"/>
      <c r="I31" s="710"/>
      <c r="J31" s="710"/>
      <c r="K31" s="584">
        <f>SUM(F31:J31)</f>
        <v>0</v>
      </c>
      <c r="L31" s="580">
        <f>MAX(F31:J31)</f>
        <v>0</v>
      </c>
      <c r="M31" s="650">
        <f>SUM(K31*1000)+L31+0.034</f>
        <v>3.4000000000000002E-2</v>
      </c>
      <c r="N31" s="585" t="str">
        <f>IF(F31="","",RANK(M31,M6:M70,0))</f>
        <v/>
      </c>
      <c r="O31" s="584"/>
      <c r="P31" s="663"/>
      <c r="Q31" s="586"/>
      <c r="R31" s="882"/>
      <c r="S31" s="538"/>
      <c r="T31" s="528"/>
      <c r="U31" s="528"/>
      <c r="V31" s="528"/>
      <c r="W31" s="528"/>
      <c r="X31" s="528"/>
      <c r="Y31" s="528"/>
      <c r="Z31" s="528"/>
      <c r="AA31" s="528"/>
      <c r="AB31" s="539"/>
      <c r="AC31" s="532"/>
      <c r="AD31" s="863"/>
      <c r="AE31" s="506"/>
      <c r="AF31" s="506"/>
      <c r="AG31" s="94">
        <f t="shared" si="1"/>
        <v>26</v>
      </c>
      <c r="AH31" s="98" t="str">
        <f>IF(AF6&lt;26,"",VLOOKUP(26,B6:N70,4,FALSE))</f>
        <v/>
      </c>
      <c r="AI31" s="94" t="str">
        <f>IF(AF6&lt;26,"",VLOOKUP(26,B6:N70,10,FALSE))</f>
        <v/>
      </c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6"/>
      <c r="B32" t="str">
        <f>IF(F32="","",N32)</f>
        <v/>
      </c>
      <c r="C32" s="885"/>
      <c r="D32" s="876"/>
      <c r="E32" s="703"/>
      <c r="F32" s="710"/>
      <c r="G32" s="710"/>
      <c r="H32" s="710"/>
      <c r="I32" s="710"/>
      <c r="J32" s="710"/>
      <c r="K32" s="584">
        <f>SUM(F32:J32)</f>
        <v>0</v>
      </c>
      <c r="L32" s="580">
        <f>MAX(F32:J32)</f>
        <v>0</v>
      </c>
      <c r="M32" s="650">
        <f>SUM(K32*1000)+L32+0.033</f>
        <v>3.3000000000000002E-2</v>
      </c>
      <c r="N32" s="585" t="str">
        <f>IF(F32="","",RANK(M32,M6:M70,0))</f>
        <v/>
      </c>
      <c r="O32" s="584"/>
      <c r="P32" s="663"/>
      <c r="Q32" s="586"/>
      <c r="R32" s="882"/>
      <c r="S32" s="538"/>
      <c r="T32" s="528"/>
      <c r="U32" s="528"/>
      <c r="V32" s="528"/>
      <c r="W32" s="528"/>
      <c r="X32" s="528"/>
      <c r="Y32" s="528"/>
      <c r="Z32" s="528"/>
      <c r="AA32" s="528"/>
      <c r="AB32" s="539"/>
      <c r="AC32" s="532"/>
      <c r="AD32" s="863"/>
      <c r="AE32" s="506"/>
      <c r="AF32" s="506"/>
      <c r="AG32" s="94">
        <f t="shared" si="1"/>
        <v>27</v>
      </c>
      <c r="AH32" s="98" t="str">
        <f>IF(AF6&lt;27,"",VLOOKUP(27,B6:N70,4,FALSE))</f>
        <v/>
      </c>
      <c r="AI32" s="94" t="str">
        <f>IF(AF6&lt;27,"",VLOOKUP(27,B6:N70,10,FALSE))</f>
        <v/>
      </c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6"/>
      <c r="B33" t="str">
        <f>IF(F33="","",N33)</f>
        <v/>
      </c>
      <c r="C33" s="885"/>
      <c r="D33" s="876"/>
      <c r="E33" s="703"/>
      <c r="F33" s="710"/>
      <c r="G33" s="710"/>
      <c r="H33" s="710"/>
      <c r="I33" s="710"/>
      <c r="J33" s="710"/>
      <c r="K33" s="584">
        <f>SUM(F33:J33)</f>
        <v>0</v>
      </c>
      <c r="L33" s="580">
        <f>MAX(F33:J33)</f>
        <v>0</v>
      </c>
      <c r="M33" s="650">
        <f>SUM(K33*1000)+L33+0.032</f>
        <v>3.2000000000000001E-2</v>
      </c>
      <c r="N33" s="585" t="str">
        <f>IF(F33="","",RANK(M33,M6:M70,0))</f>
        <v/>
      </c>
      <c r="O33" s="584"/>
      <c r="P33" s="663"/>
      <c r="Q33" s="586"/>
      <c r="R33" s="882"/>
      <c r="S33" s="538"/>
      <c r="T33" s="528"/>
      <c r="U33" s="528"/>
      <c r="V33" s="528"/>
      <c r="W33" s="528"/>
      <c r="X33" s="528"/>
      <c r="Y33" s="528"/>
      <c r="Z33" s="528"/>
      <c r="AA33" s="528"/>
      <c r="AB33" s="539"/>
      <c r="AC33" s="532"/>
      <c r="AD33" s="863"/>
      <c r="AE33" s="506"/>
      <c r="AF33" s="506"/>
      <c r="AG33" s="94">
        <f t="shared" si="1"/>
        <v>28</v>
      </c>
      <c r="AH33" s="98" t="str">
        <f>IF(AF6&lt;28,"",VLOOKUP(28,B6:N70,4,FALSE))</f>
        <v/>
      </c>
      <c r="AI33" s="94" t="str">
        <f>IF(AF6&lt;28,"",VLOOKUP(28,B6:N70,10,FALSE))</f>
        <v/>
      </c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6"/>
      <c r="B34" t="str">
        <f>IF(F34="","",N34)</f>
        <v/>
      </c>
      <c r="C34" s="886"/>
      <c r="D34" s="877"/>
      <c r="E34" s="717"/>
      <c r="F34" s="711"/>
      <c r="G34" s="711"/>
      <c r="H34" s="711"/>
      <c r="I34" s="711"/>
      <c r="J34" s="711"/>
      <c r="K34" s="598">
        <f>SUM(F34:J34)</f>
        <v>0</v>
      </c>
      <c r="L34" s="588">
        <f>MAX(F34:J34)</f>
        <v>0</v>
      </c>
      <c r="M34" s="651">
        <f>SUM(K34*1000)+L34+0.031</f>
        <v>3.1E-2</v>
      </c>
      <c r="N34" s="596" t="str">
        <f>IF(F34="","",RANK(M34,M6:M70,0))</f>
        <v/>
      </c>
      <c r="O34" s="598"/>
      <c r="P34" s="664"/>
      <c r="Q34" s="599"/>
      <c r="R34" s="883"/>
      <c r="S34" s="540"/>
      <c r="T34" s="529"/>
      <c r="U34" s="529"/>
      <c r="V34" s="529"/>
      <c r="W34" s="529"/>
      <c r="X34" s="529"/>
      <c r="Y34" s="529"/>
      <c r="Z34" s="529"/>
      <c r="AA34" s="529"/>
      <c r="AB34" s="541"/>
      <c r="AC34" s="532"/>
      <c r="AD34" s="863"/>
      <c r="AE34" s="506"/>
      <c r="AF34" s="506"/>
      <c r="AG34" s="94">
        <f t="shared" si="1"/>
        <v>29</v>
      </c>
      <c r="AH34" s="98" t="str">
        <f>IF(AF6&lt;29,"",VLOOKUP(29,B6:N70,4,FALSE))</f>
        <v/>
      </c>
      <c r="AI34" s="94" t="str">
        <f>IF(AF6&lt;29,"",VLOOKUP(29,B6:N70,10,FALSE))</f>
        <v/>
      </c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6"/>
      <c r="C35" s="523"/>
      <c r="D35" s="623"/>
      <c r="E35" s="492"/>
      <c r="F35" s="575">
        <f>SUM(F30:F34)</f>
        <v>0</v>
      </c>
      <c r="G35" s="575">
        <f>SUM(G30:G34)</f>
        <v>0</v>
      </c>
      <c r="H35" s="575">
        <f>SUM(H30:H34)</f>
        <v>0</v>
      </c>
      <c r="I35" s="575">
        <f>SUM(I30:I34)</f>
        <v>0</v>
      </c>
      <c r="J35" s="575">
        <f>SUM(J30:J34)</f>
        <v>0</v>
      </c>
      <c r="K35" s="587"/>
      <c r="L35" s="587"/>
      <c r="M35" s="652"/>
      <c r="N35" s="587"/>
      <c r="O35" s="587">
        <f>SUM(F35:J35)</f>
        <v>0</v>
      </c>
      <c r="P35" s="660">
        <f>MAX(F35:J35)+0.006</f>
        <v>6.0000000000000001E-3</v>
      </c>
      <c r="Q35" s="589" t="str">
        <f>IF(F30="","",SUM(O35*1000)+P35)</f>
        <v/>
      </c>
      <c r="R35" s="624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2"/>
      <c r="AD35" s="863"/>
      <c r="AE35" s="506"/>
      <c r="AF35" s="506"/>
      <c r="AG35" s="94">
        <f t="shared" si="1"/>
        <v>30</v>
      </c>
      <c r="AH35" s="98" t="str">
        <f>IF(AF6&lt;30,"",VLOOKUP(30,B6:N70,4,FALSE))</f>
        <v/>
      </c>
      <c r="AI35" s="94" t="str">
        <f>IF(AF6&lt;30,"",VLOOKUP(30,B6:N70,10,FALSE))</f>
        <v/>
      </c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6"/>
      <c r="B36" t="str">
        <f>IF(F36="","",N36)</f>
        <v/>
      </c>
      <c r="C36" s="884">
        <v>6</v>
      </c>
      <c r="D36" s="875" t="s">
        <v>133</v>
      </c>
      <c r="E36" s="704"/>
      <c r="F36" s="709"/>
      <c r="G36" s="709"/>
      <c r="H36" s="709"/>
      <c r="I36" s="709"/>
      <c r="J36" s="709"/>
      <c r="K36" s="582">
        <f>SUM(F36:J36)</f>
        <v>0</v>
      </c>
      <c r="L36" s="582">
        <f>MAX(F36:J36)</f>
        <v>0</v>
      </c>
      <c r="M36" s="649">
        <f>SUM(K36*1000)+L36+0.03</f>
        <v>0.03</v>
      </c>
      <c r="N36" s="595" t="str">
        <f>IF(F36="","",RANK(M36,M6:M70,0))</f>
        <v/>
      </c>
      <c r="O36" s="582"/>
      <c r="P36" s="662"/>
      <c r="Q36" s="597"/>
      <c r="R36" s="881" t="str">
        <f>IF(F36="","",RANK(Q41,Q11:Q71,0))</f>
        <v/>
      </c>
      <c r="S36" s="537"/>
      <c r="T36" s="527"/>
      <c r="U36" s="543" t="str">
        <f>IF(R36="","",R36)</f>
        <v/>
      </c>
      <c r="V36" s="544" t="str">
        <f>IF(D36="","",D36)</f>
        <v>KAČEROV II.</v>
      </c>
      <c r="W36" s="547">
        <f>IF(O41="","",O41)</f>
        <v>0</v>
      </c>
      <c r="X36" s="527"/>
      <c r="Y36" s="527"/>
      <c r="Z36" s="527"/>
      <c r="AA36" s="527"/>
      <c r="AB36" s="548"/>
      <c r="AC36" s="532"/>
      <c r="AD36" s="863"/>
      <c r="AE36" s="506"/>
      <c r="AF36" s="506"/>
      <c r="AG36" s="94">
        <f t="shared" si="1"/>
        <v>31</v>
      </c>
      <c r="AH36" s="98" t="str">
        <f>IF(AF6&lt;31,"",VLOOKUP(31,B6:N70,4,FALSE))</f>
        <v/>
      </c>
      <c r="AI36" s="94" t="str">
        <f>IF(AF6&lt;31,"",VLOOKUP(31,B6:N70,10,FALSE))</f>
        <v/>
      </c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6"/>
      <c r="B37" t="str">
        <f>IF(F37="","",N37)</f>
        <v/>
      </c>
      <c r="C37" s="885"/>
      <c r="D37" s="876"/>
      <c r="E37" s="703"/>
      <c r="F37" s="710"/>
      <c r="G37" s="710"/>
      <c r="H37" s="710"/>
      <c r="I37" s="710"/>
      <c r="J37" s="710"/>
      <c r="K37" s="584">
        <f>SUM(F37:J37)</f>
        <v>0</v>
      </c>
      <c r="L37" s="580">
        <f>MAX(F37:J37)</f>
        <v>0</v>
      </c>
      <c r="M37" s="650">
        <f>SUM(K37*1000)+L37+0.029</f>
        <v>2.9000000000000001E-2</v>
      </c>
      <c r="N37" s="585" t="str">
        <f>IF(F37="","",RANK(M37,M6:M70,0))</f>
        <v/>
      </c>
      <c r="O37" s="584"/>
      <c r="P37" s="663"/>
      <c r="Q37" s="586"/>
      <c r="R37" s="882"/>
      <c r="S37" s="538"/>
      <c r="T37" s="528"/>
      <c r="U37" s="528"/>
      <c r="V37" s="528"/>
      <c r="W37" s="528"/>
      <c r="X37" s="528"/>
      <c r="Y37" s="528"/>
      <c r="Z37" s="528"/>
      <c r="AA37" s="528"/>
      <c r="AB37" s="539"/>
      <c r="AC37" s="532"/>
      <c r="AD37" s="863"/>
      <c r="AE37" s="506"/>
      <c r="AF37" s="506"/>
      <c r="AG37" s="94">
        <f t="shared" si="1"/>
        <v>32</v>
      </c>
      <c r="AH37" s="98" t="str">
        <f>IF(AF6&lt;32,"",VLOOKUP(32,B6:N70,4,FALSE))</f>
        <v/>
      </c>
      <c r="AI37" s="94" t="str">
        <f>IF(AF6&lt;32,"",VLOOKUP(32,B6:N70,10,FALSE))</f>
        <v/>
      </c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6"/>
      <c r="B38" t="str">
        <f>IF(F38="","",N38)</f>
        <v/>
      </c>
      <c r="C38" s="885"/>
      <c r="D38" s="876"/>
      <c r="E38" s="703"/>
      <c r="F38" s="710"/>
      <c r="G38" s="710"/>
      <c r="H38" s="710"/>
      <c r="I38" s="710"/>
      <c r="J38" s="710"/>
      <c r="K38" s="584">
        <f>SUM(F38:J38)</f>
        <v>0</v>
      </c>
      <c r="L38" s="580">
        <f>MAX(F38:J38)</f>
        <v>0</v>
      </c>
      <c r="M38" s="650">
        <f>SUM(K38*1000)+L38+0.028</f>
        <v>2.8000000000000001E-2</v>
      </c>
      <c r="N38" s="585" t="str">
        <f>IF(F38="","",RANK(M38,M6:M70,0))</f>
        <v/>
      </c>
      <c r="O38" s="584"/>
      <c r="P38" s="663"/>
      <c r="Q38" s="586"/>
      <c r="R38" s="882"/>
      <c r="S38" s="538"/>
      <c r="T38" s="528"/>
      <c r="U38" s="528"/>
      <c r="V38" s="528"/>
      <c r="W38" s="528"/>
      <c r="X38" s="528"/>
      <c r="Y38" s="528"/>
      <c r="Z38" s="528"/>
      <c r="AA38" s="528"/>
      <c r="AB38" s="539"/>
      <c r="AC38" s="532"/>
      <c r="AD38" s="863"/>
      <c r="AE38" s="506"/>
      <c r="AF38" s="506"/>
      <c r="AG38" s="94">
        <f t="shared" si="1"/>
        <v>33</v>
      </c>
      <c r="AH38" s="98" t="str">
        <f>IF(AF6&lt;33,"",VLOOKUP(33,B6:N70,4,FALSE))</f>
        <v/>
      </c>
      <c r="AI38" s="94" t="str">
        <f>IF(AF6&lt;33,"",VLOOKUP(33,B6:N70,10,FALSE))</f>
        <v/>
      </c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6"/>
      <c r="B39" t="str">
        <f>IF(F39="","",N39)</f>
        <v/>
      </c>
      <c r="C39" s="885"/>
      <c r="D39" s="876"/>
      <c r="E39" s="703"/>
      <c r="F39" s="710"/>
      <c r="G39" s="710"/>
      <c r="H39" s="710"/>
      <c r="I39" s="710"/>
      <c r="J39" s="710"/>
      <c r="K39" s="584">
        <f>SUM(F39:J39)</f>
        <v>0</v>
      </c>
      <c r="L39" s="580">
        <f>MAX(F39:J39)</f>
        <v>0</v>
      </c>
      <c r="M39" s="650">
        <f>SUM(K39*1000)+L39+0.027</f>
        <v>2.7E-2</v>
      </c>
      <c r="N39" s="585" t="str">
        <f>IF(F39="","",RANK(M39,M6:M70,0))</f>
        <v/>
      </c>
      <c r="O39" s="584"/>
      <c r="P39" s="663"/>
      <c r="Q39" s="586"/>
      <c r="R39" s="882"/>
      <c r="S39" s="538"/>
      <c r="T39" s="528"/>
      <c r="U39" s="528"/>
      <c r="V39" s="528"/>
      <c r="W39" s="528"/>
      <c r="X39" s="528"/>
      <c r="Y39" s="528"/>
      <c r="Z39" s="528"/>
      <c r="AA39" s="528"/>
      <c r="AB39" s="539"/>
      <c r="AC39" s="532"/>
      <c r="AD39" s="863"/>
      <c r="AE39" s="506"/>
      <c r="AF39" s="506"/>
      <c r="AG39" s="94">
        <f t="shared" si="1"/>
        <v>34</v>
      </c>
      <c r="AH39" s="98" t="str">
        <f>IF(AF6&lt;34,"",VLOOKUP(34,B6:N70,4,FALSE))</f>
        <v/>
      </c>
      <c r="AI39" s="94" t="str">
        <f>IF(AF6&lt;34,"",VLOOKUP(34,B6:N70,10,FALSE))</f>
        <v/>
      </c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6"/>
      <c r="B40" t="str">
        <f>IF(F40="","",N40)</f>
        <v/>
      </c>
      <c r="C40" s="886"/>
      <c r="D40" s="877"/>
      <c r="E40" s="703"/>
      <c r="F40" s="711"/>
      <c r="G40" s="711"/>
      <c r="H40" s="711"/>
      <c r="I40" s="711"/>
      <c r="J40" s="711"/>
      <c r="K40" s="598">
        <f>SUM(F40:J40)</f>
        <v>0</v>
      </c>
      <c r="L40" s="588">
        <f>MAX(F40:J40)</f>
        <v>0</v>
      </c>
      <c r="M40" s="651">
        <f>SUM(K40*1000)+L40+0.026</f>
        <v>2.5999999999999999E-2</v>
      </c>
      <c r="N40" s="596" t="str">
        <f>IF(F40="","",RANK(M40,M6:M70,0))</f>
        <v/>
      </c>
      <c r="O40" s="598"/>
      <c r="P40" s="664"/>
      <c r="Q40" s="599"/>
      <c r="R40" s="883"/>
      <c r="S40" s="540"/>
      <c r="T40" s="529"/>
      <c r="U40" s="529"/>
      <c r="V40" s="529"/>
      <c r="W40" s="529"/>
      <c r="X40" s="529"/>
      <c r="Y40" s="529"/>
      <c r="Z40" s="529"/>
      <c r="AA40" s="529"/>
      <c r="AB40" s="541"/>
      <c r="AC40" s="536"/>
      <c r="AD40" s="864"/>
      <c r="AE40" s="506"/>
      <c r="AF40" s="506"/>
      <c r="AG40" s="94">
        <f t="shared" si="1"/>
        <v>35</v>
      </c>
      <c r="AH40" s="98" t="str">
        <f>IF(AF6&lt;35,"",VLOOKUP(35,B6:N70,4,FALSE))</f>
        <v/>
      </c>
      <c r="AI40" s="94" t="str">
        <f>IF(AF6&lt;35,"",VLOOKUP(35,B6:N70,10,FALSE))</f>
        <v/>
      </c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6"/>
      <c r="C41" s="524"/>
      <c r="D41" s="618"/>
      <c r="E41" s="574"/>
      <c r="F41" s="571">
        <f>SUM(F36:F40)</f>
        <v>0</v>
      </c>
      <c r="G41" s="571">
        <f>SUM(G36:G40)</f>
        <v>0</v>
      </c>
      <c r="H41" s="571">
        <f>SUM(H36:H40)</f>
        <v>0</v>
      </c>
      <c r="I41" s="571">
        <f>SUM(I36:I40)</f>
        <v>0</v>
      </c>
      <c r="J41" s="571">
        <f>SUM(J36:J40)</f>
        <v>0</v>
      </c>
      <c r="K41" s="619"/>
      <c r="L41" s="619"/>
      <c r="M41" s="648"/>
      <c r="N41" s="619"/>
      <c r="O41" s="619">
        <f>SUM(F41:J41)</f>
        <v>0</v>
      </c>
      <c r="P41" s="661">
        <f>MAX(F41:J41)+0.005</f>
        <v>5.0000000000000001E-3</v>
      </c>
      <c r="Q41" s="620" t="str">
        <f>IF(F36="","",SUM(O41*1000)+P41)</f>
        <v/>
      </c>
      <c r="R41" s="621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893">
        <f>SUM(O35,O41)</f>
        <v>0</v>
      </c>
      <c r="AD41" s="893"/>
      <c r="AE41" s="506"/>
      <c r="AF41" s="506"/>
      <c r="AG41" s="94">
        <f t="shared" si="1"/>
        <v>36</v>
      </c>
      <c r="AH41" s="98" t="str">
        <f>IF(AF6&lt;36,"",VLOOKUP(36,B6:N70,4,FALSE))</f>
        <v/>
      </c>
      <c r="AI41" s="94" t="str">
        <f>IF(AF6&lt;36,"",VLOOKUP(36,B6:N70,10,FALSE))</f>
        <v/>
      </c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6"/>
      <c r="B42" t="str">
        <f>IF(F42="","",N42)</f>
        <v/>
      </c>
      <c r="C42" s="884">
        <v>7</v>
      </c>
      <c r="D42" s="894" t="s">
        <v>134</v>
      </c>
      <c r="E42" s="702"/>
      <c r="F42" s="709"/>
      <c r="G42" s="709"/>
      <c r="H42" s="709"/>
      <c r="I42" s="709"/>
      <c r="J42" s="709"/>
      <c r="K42" s="582">
        <f>SUM(F42:J42)</f>
        <v>0</v>
      </c>
      <c r="L42" s="582">
        <f>MAX(F42:J42)</f>
        <v>0</v>
      </c>
      <c r="M42" s="649">
        <f>SUM(K42*1000)+L42+0.025</f>
        <v>2.5000000000000001E-2</v>
      </c>
      <c r="N42" s="595" t="str">
        <f>IF(F42="","",RANK(M42,M6:M70,0))</f>
        <v/>
      </c>
      <c r="O42" s="582"/>
      <c r="P42" s="662"/>
      <c r="Q42" s="597"/>
      <c r="R42" s="881" t="str">
        <f>IF(F42="","",RANK(Q47,Q11:Q71,0))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HOSTIVAŘ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HOSTIVAŘ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6"/>
      <c r="AF42" s="506"/>
      <c r="AG42" s="94">
        <f t="shared" si="1"/>
        <v>37</v>
      </c>
      <c r="AH42" s="98" t="str">
        <f>IF(AF6&lt;37,"",VLOOKUP(37,B6:N70,4,FALSE))</f>
        <v/>
      </c>
      <c r="AI42" s="94" t="str">
        <f>IF(AF6&lt;37,"",VLOOKUP(37,B6:N70,10,FALSE))</f>
        <v/>
      </c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6"/>
      <c r="B43" t="str">
        <f>IF(F43="","",N43)</f>
        <v/>
      </c>
      <c r="C43" s="885"/>
      <c r="D43" s="895"/>
      <c r="E43" s="703"/>
      <c r="F43" s="710"/>
      <c r="G43" s="710"/>
      <c r="H43" s="710"/>
      <c r="I43" s="710"/>
      <c r="J43" s="710"/>
      <c r="K43" s="584">
        <f>SUM(F43:J43)</f>
        <v>0</v>
      </c>
      <c r="L43" s="580">
        <f>MAX(F43:J43)</f>
        <v>0</v>
      </c>
      <c r="M43" s="650">
        <f>SUM(K43*1000)+L43+0.024</f>
        <v>2.4E-2</v>
      </c>
      <c r="N43" s="585" t="str">
        <f>IF(F43="","",RANK(M43,M6:M70,0))</f>
        <v/>
      </c>
      <c r="O43" s="584"/>
      <c r="P43" s="663"/>
      <c r="Q43" s="586"/>
      <c r="R43" s="882"/>
      <c r="S43" s="538"/>
      <c r="T43" s="528"/>
      <c r="U43" s="528"/>
      <c r="V43" s="528"/>
      <c r="W43" s="528"/>
      <c r="X43" s="528"/>
      <c r="Y43" s="528"/>
      <c r="Z43" s="528"/>
      <c r="AA43" s="528"/>
      <c r="AB43" s="539"/>
      <c r="AC43" s="555"/>
      <c r="AD43" s="863"/>
      <c r="AE43" s="506"/>
      <c r="AF43" s="506"/>
      <c r="AG43" s="94">
        <f t="shared" si="1"/>
        <v>38</v>
      </c>
      <c r="AH43" s="98" t="str">
        <f>IF(AF6&lt;38,"",VLOOKUP(38,B6:N70,4,FALSE))</f>
        <v/>
      </c>
      <c r="AI43" s="94" t="str">
        <f>IF(AF6&lt;38,"",VLOOKUP(38,B6:N70,10,FALSE))</f>
        <v/>
      </c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6"/>
      <c r="B44" t="str">
        <f>IF(F44="","",N44)</f>
        <v/>
      </c>
      <c r="C44" s="885"/>
      <c r="D44" s="895"/>
      <c r="E44" s="703"/>
      <c r="F44" s="710"/>
      <c r="G44" s="710"/>
      <c r="H44" s="710"/>
      <c r="I44" s="710"/>
      <c r="J44" s="710"/>
      <c r="K44" s="584">
        <f>SUM(F44:J44)</f>
        <v>0</v>
      </c>
      <c r="L44" s="580">
        <f>MAX(F44:J44)</f>
        <v>0</v>
      </c>
      <c r="M44" s="650">
        <f>SUM(K44*1000)+L44+0.023</f>
        <v>2.3E-2</v>
      </c>
      <c r="N44" s="585" t="str">
        <f>IF(F44="","",RANK(M44,M6:M70,0))</f>
        <v/>
      </c>
      <c r="O44" s="584"/>
      <c r="P44" s="663"/>
      <c r="Q44" s="586"/>
      <c r="R44" s="882"/>
      <c r="S44" s="538"/>
      <c r="T44" s="528"/>
      <c r="U44" s="528"/>
      <c r="V44" s="528"/>
      <c r="W44" s="528"/>
      <c r="X44" s="528"/>
      <c r="Y44" s="528"/>
      <c r="Z44" s="528"/>
      <c r="AA44" s="528"/>
      <c r="AB44" s="539"/>
      <c r="AC44" s="555"/>
      <c r="AD44" s="863"/>
      <c r="AE44" s="506"/>
      <c r="AF44" s="506"/>
      <c r="AG44" s="94">
        <f t="shared" si="1"/>
        <v>39</v>
      </c>
      <c r="AH44" s="98" t="str">
        <f>IF(AF6&lt;39,"",VLOOKUP(39,B6:N70,4,FALSE))</f>
        <v/>
      </c>
      <c r="AI44" s="94" t="str">
        <f>IF(AF6&lt;39,"",VLOOKUP(39,B6:N70,10,FALSE))</f>
        <v/>
      </c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6"/>
      <c r="B45" t="str">
        <f>IF(F45="","",N45)</f>
        <v/>
      </c>
      <c r="C45" s="885"/>
      <c r="D45" s="895"/>
      <c r="E45" s="703"/>
      <c r="F45" s="710"/>
      <c r="G45" s="710"/>
      <c r="H45" s="710"/>
      <c r="I45" s="710"/>
      <c r="J45" s="710"/>
      <c r="K45" s="584">
        <f>SUM(F45:J45)</f>
        <v>0</v>
      </c>
      <c r="L45" s="580">
        <f>MAX(F45:J45)</f>
        <v>0</v>
      </c>
      <c r="M45" s="650">
        <f>SUM(K45*1000)+L45+0.022</f>
        <v>2.1999999999999999E-2</v>
      </c>
      <c r="N45" s="585" t="str">
        <f>IF(F45="","",RANK(M45,M6:M70,0))</f>
        <v/>
      </c>
      <c r="O45" s="584"/>
      <c r="P45" s="663"/>
      <c r="Q45" s="586"/>
      <c r="R45" s="882"/>
      <c r="S45" s="538"/>
      <c r="T45" s="528"/>
      <c r="U45" s="528"/>
      <c r="V45" s="528"/>
      <c r="W45" s="528"/>
      <c r="X45" s="528"/>
      <c r="Y45" s="528"/>
      <c r="Z45" s="528"/>
      <c r="AA45" s="528"/>
      <c r="AB45" s="539"/>
      <c r="AC45" s="555"/>
      <c r="AD45" s="863"/>
      <c r="AE45" s="506"/>
      <c r="AF45" s="506"/>
      <c r="AG45" s="94">
        <f t="shared" si="1"/>
        <v>40</v>
      </c>
      <c r="AH45" s="98" t="str">
        <f>IF(AF6&lt;40,"",VLOOKUP(40,B6:N70,4,FALSE))</f>
        <v/>
      </c>
      <c r="AI45" s="94" t="str">
        <f>IF(AF6&lt;40,"",VLOOKUP(40,B6:N70,10,FALSE))</f>
        <v/>
      </c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6"/>
      <c r="B46" t="str">
        <f>IF(F46="","",N46)</f>
        <v/>
      </c>
      <c r="C46" s="886"/>
      <c r="D46" s="896"/>
      <c r="E46" s="703"/>
      <c r="F46" s="711"/>
      <c r="G46" s="711"/>
      <c r="H46" s="711"/>
      <c r="I46" s="711"/>
      <c r="J46" s="711"/>
      <c r="K46" s="598">
        <f>SUM(F46:J46)</f>
        <v>0</v>
      </c>
      <c r="L46" s="588">
        <f>MAX(F46:J46)</f>
        <v>0</v>
      </c>
      <c r="M46" s="651">
        <f>SUM(K46*1000)+L46+0.021</f>
        <v>2.1000000000000001E-2</v>
      </c>
      <c r="N46" s="596" t="str">
        <f>IF(F46="","",RANK(M46,M6:M70,0))</f>
        <v/>
      </c>
      <c r="O46" s="598"/>
      <c r="P46" s="664"/>
      <c r="Q46" s="599"/>
      <c r="R46" s="883"/>
      <c r="S46" s="540"/>
      <c r="T46" s="529"/>
      <c r="U46" s="529"/>
      <c r="V46" s="529"/>
      <c r="W46" s="529"/>
      <c r="X46" s="529"/>
      <c r="Y46" s="529"/>
      <c r="Z46" s="529"/>
      <c r="AA46" s="529"/>
      <c r="AB46" s="541"/>
      <c r="AC46" s="555"/>
      <c r="AD46" s="863"/>
      <c r="AE46" s="506"/>
      <c r="AF46" s="506"/>
      <c r="AG46" s="94">
        <f t="shared" si="1"/>
        <v>41</v>
      </c>
      <c r="AH46" s="98" t="str">
        <f>IF(AF6&lt;41,"",VLOOKUP(41,B6:N70,4,FALSE))</f>
        <v/>
      </c>
      <c r="AI46" s="94" t="str">
        <f>IF(AF6&lt;41,"",VLOOKUP(41,B6:N70,10,FALSE))</f>
        <v/>
      </c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6"/>
      <c r="C47" s="525"/>
      <c r="D47" s="615"/>
      <c r="E47" s="497"/>
      <c r="F47" s="570">
        <f>SUM(F42:F46)</f>
        <v>0</v>
      </c>
      <c r="G47" s="570">
        <f>SUM(G42:G46)</f>
        <v>0</v>
      </c>
      <c r="H47" s="570">
        <f>SUM(H42:H46)</f>
        <v>0</v>
      </c>
      <c r="I47" s="570">
        <f>SUM(I42:I46)</f>
        <v>0</v>
      </c>
      <c r="J47" s="570">
        <f>SUM(J42:J46)</f>
        <v>0</v>
      </c>
      <c r="K47" s="616"/>
      <c r="L47" s="616"/>
      <c r="M47" s="653"/>
      <c r="N47" s="616"/>
      <c r="O47" s="616">
        <f>SUM(F47:J47)</f>
        <v>0</v>
      </c>
      <c r="P47" s="665">
        <f>MAX(F47:J47)+0.004</f>
        <v>4.0000000000000001E-3</v>
      </c>
      <c r="Q47" s="617" t="str">
        <f>IF(F42="","",SUM(O47*1000)+P47)</f>
        <v/>
      </c>
      <c r="R47" s="625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2"/>
      <c r="AD47" s="863"/>
      <c r="AE47" s="506"/>
      <c r="AF47" s="506"/>
      <c r="AG47" s="94">
        <f t="shared" si="1"/>
        <v>42</v>
      </c>
      <c r="AH47" s="98" t="str">
        <f>IF(AF6&lt;42,"",VLOOKUP(42,B6:N70,4,FALSE))</f>
        <v/>
      </c>
      <c r="AI47" s="94" t="str">
        <f>IF(AF6&lt;42,"",VLOOKUP(42,B6:N70,10,FALSE))</f>
        <v/>
      </c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6"/>
      <c r="B48" t="str">
        <f>IF(F48="","",N48)</f>
        <v/>
      </c>
      <c r="C48" s="884">
        <v>8</v>
      </c>
      <c r="D48" s="894" t="s">
        <v>135</v>
      </c>
      <c r="E48" s="704"/>
      <c r="F48" s="709"/>
      <c r="G48" s="709"/>
      <c r="H48" s="709"/>
      <c r="I48" s="709"/>
      <c r="J48" s="709"/>
      <c r="K48" s="582">
        <f>SUM(F48:J48)</f>
        <v>0</v>
      </c>
      <c r="L48" s="582">
        <f>MAX(F48:J48)</f>
        <v>0</v>
      </c>
      <c r="M48" s="649">
        <f>SUM(K48*1000)+L48+0.02</f>
        <v>0.02</v>
      </c>
      <c r="N48" s="595" t="str">
        <f>IF(F48="","",RANK(M48,M6:M70,0))</f>
        <v/>
      </c>
      <c r="O48" s="582"/>
      <c r="P48" s="662"/>
      <c r="Q48" s="597"/>
      <c r="R48" s="890" t="str">
        <f>IF(F48="","",RANK(Q53,Q11:Q71,0))</f>
        <v/>
      </c>
      <c r="S48" s="537"/>
      <c r="T48" s="527"/>
      <c r="U48" s="543" t="str">
        <f>IF(R48="","",R48)</f>
        <v/>
      </c>
      <c r="V48" s="544" t="str">
        <f>IF(D48="","",D48)</f>
        <v>HOSTIVAŘ II.</v>
      </c>
      <c r="W48" s="547">
        <f>IF(O53="","",O53)</f>
        <v>0</v>
      </c>
      <c r="X48" s="527"/>
      <c r="Y48" s="527"/>
      <c r="Z48" s="527"/>
      <c r="AA48" s="527"/>
      <c r="AB48" s="548"/>
      <c r="AC48" s="555"/>
      <c r="AD48" s="863"/>
      <c r="AE48" s="506"/>
      <c r="AF48" s="506"/>
      <c r="AG48" s="94">
        <f t="shared" si="1"/>
        <v>43</v>
      </c>
      <c r="AH48" s="98" t="str">
        <f>IF(AF6&lt;43,"",VLOOKUP(43,B6:N70,4,FALSE))</f>
        <v/>
      </c>
      <c r="AI48" s="94" t="str">
        <f>IF(AF6&lt;43,"",VLOOKUP(43,B6:N70,10,FALSE))</f>
        <v/>
      </c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6"/>
      <c r="B49" t="str">
        <f>IF(F49="","",N49)</f>
        <v/>
      </c>
      <c r="C49" s="885"/>
      <c r="D49" s="895"/>
      <c r="E49" s="703"/>
      <c r="F49" s="710"/>
      <c r="G49" s="710"/>
      <c r="H49" s="710"/>
      <c r="I49" s="710"/>
      <c r="J49" s="710"/>
      <c r="K49" s="584">
        <f>SUM(F49:J49)</f>
        <v>0</v>
      </c>
      <c r="L49" s="580">
        <f>MAX(F49:J49)</f>
        <v>0</v>
      </c>
      <c r="M49" s="650">
        <f>SUM(K49*1000)+L49+0.019</f>
        <v>1.9E-2</v>
      </c>
      <c r="N49" s="585" t="str">
        <f>IF(F49="","",RANK(M49,M6:M70,0))</f>
        <v/>
      </c>
      <c r="O49" s="584"/>
      <c r="P49" s="663"/>
      <c r="Q49" s="586"/>
      <c r="R49" s="891"/>
      <c r="S49" s="538"/>
      <c r="T49" s="528"/>
      <c r="U49" s="528"/>
      <c r="V49" s="528"/>
      <c r="W49" s="528"/>
      <c r="X49" s="528"/>
      <c r="Y49" s="528"/>
      <c r="Z49" s="528"/>
      <c r="AA49" s="528"/>
      <c r="AB49" s="539"/>
      <c r="AC49" s="555"/>
      <c r="AD49" s="863"/>
      <c r="AE49" s="506"/>
      <c r="AF49" s="506"/>
      <c r="AG49" s="94">
        <f t="shared" si="1"/>
        <v>44</v>
      </c>
      <c r="AH49" s="98" t="str">
        <f>IF(AF6&lt;44,"",VLOOKUP(44,B6:N70,4,FALSE))</f>
        <v/>
      </c>
      <c r="AI49" s="94" t="str">
        <f>IF(AF6&lt;44,"",VLOOKUP(44,B6:N70,10,FALSE))</f>
        <v/>
      </c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6"/>
      <c r="B50" t="str">
        <f>IF(F50="","",N50)</f>
        <v/>
      </c>
      <c r="C50" s="885"/>
      <c r="D50" s="895"/>
      <c r="E50" s="703"/>
      <c r="F50" s="710"/>
      <c r="G50" s="710"/>
      <c r="H50" s="710"/>
      <c r="I50" s="710"/>
      <c r="J50" s="710"/>
      <c r="K50" s="584">
        <f>SUM(F50:J50)</f>
        <v>0</v>
      </c>
      <c r="L50" s="580">
        <f>MAX(F50:J50)</f>
        <v>0</v>
      </c>
      <c r="M50" s="650">
        <f>SUM(K50*1000)+L50+0.018</f>
        <v>1.7999999999999999E-2</v>
      </c>
      <c r="N50" s="585" t="str">
        <f>IF(F50="","",RANK(M50,M6:M70,0))</f>
        <v/>
      </c>
      <c r="O50" s="584"/>
      <c r="P50" s="663"/>
      <c r="Q50" s="586"/>
      <c r="R50" s="891"/>
      <c r="S50" s="538"/>
      <c r="T50" s="528"/>
      <c r="U50" s="528"/>
      <c r="V50" s="528"/>
      <c r="W50" s="528"/>
      <c r="X50" s="528"/>
      <c r="Y50" s="528"/>
      <c r="Z50" s="528"/>
      <c r="AA50" s="528"/>
      <c r="AB50" s="539"/>
      <c r="AC50" s="555"/>
      <c r="AD50" s="863"/>
      <c r="AE50" s="506"/>
      <c r="AF50" s="506"/>
      <c r="AG50" s="94">
        <f t="shared" si="1"/>
        <v>45</v>
      </c>
      <c r="AH50" s="98" t="str">
        <f>IF(AF6&lt;45,"",VLOOKUP(45,B6:N70,4,FALSE))</f>
        <v/>
      </c>
      <c r="AI50" s="94" t="str">
        <f>IF(AF6&lt;45,"",VLOOKUP(45,B6:N70,10,FALSE))</f>
        <v/>
      </c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6"/>
      <c r="B51" t="str">
        <f>IF(F51="","",N51)</f>
        <v/>
      </c>
      <c r="C51" s="885"/>
      <c r="D51" s="895"/>
      <c r="E51" s="703"/>
      <c r="F51" s="710"/>
      <c r="G51" s="710"/>
      <c r="H51" s="710"/>
      <c r="I51" s="710"/>
      <c r="J51" s="710"/>
      <c r="K51" s="584">
        <f>SUM(F51:J51)</f>
        <v>0</v>
      </c>
      <c r="L51" s="580">
        <f>MAX(F51:J51)</f>
        <v>0</v>
      </c>
      <c r="M51" s="650">
        <f>SUM(K51*1000)+L51+0.017</f>
        <v>1.7000000000000001E-2</v>
      </c>
      <c r="N51" s="585" t="str">
        <f>IF(F51="","",RANK(M51,M6:M70,0))</f>
        <v/>
      </c>
      <c r="O51" s="584"/>
      <c r="P51" s="663"/>
      <c r="Q51" s="586"/>
      <c r="R51" s="891"/>
      <c r="S51" s="538"/>
      <c r="T51" s="528"/>
      <c r="U51" s="528"/>
      <c r="V51" s="528"/>
      <c r="W51" s="528"/>
      <c r="X51" s="528"/>
      <c r="Y51" s="528"/>
      <c r="Z51" s="528"/>
      <c r="AA51" s="528"/>
      <c r="AB51" s="539"/>
      <c r="AC51" s="555"/>
      <c r="AD51" s="863"/>
      <c r="AE51" s="506"/>
      <c r="AF51" s="506"/>
      <c r="AG51" s="94">
        <f t="shared" si="1"/>
        <v>46</v>
      </c>
      <c r="AH51" s="98" t="str">
        <f>IF(AF6&lt;46,"",VLOOKUP(46,B6:N70,4,FALSE))</f>
        <v/>
      </c>
      <c r="AI51" s="94" t="str">
        <f>IF(AF6&lt;46,"",VLOOKUP(46,B6:N70,10,FALSE))</f>
        <v/>
      </c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6"/>
      <c r="B52" t="str">
        <f>IF(F52="","",N52)</f>
        <v/>
      </c>
      <c r="C52" s="886"/>
      <c r="D52" s="896"/>
      <c r="E52" s="703"/>
      <c r="F52" s="711"/>
      <c r="G52" s="711"/>
      <c r="H52" s="711"/>
      <c r="I52" s="711"/>
      <c r="J52" s="711"/>
      <c r="K52" s="598">
        <f>SUM(F52:J52)</f>
        <v>0</v>
      </c>
      <c r="L52" s="588">
        <f>MAX(F52:J52)</f>
        <v>0</v>
      </c>
      <c r="M52" s="651">
        <f>SUM(K52*1000)+L52+0.016</f>
        <v>1.6E-2</v>
      </c>
      <c r="N52" s="596" t="str">
        <f>IF(F52="","",RANK(M52,M6:M70,0))</f>
        <v/>
      </c>
      <c r="O52" s="598"/>
      <c r="P52" s="664"/>
      <c r="Q52" s="599"/>
      <c r="R52" s="892"/>
      <c r="S52" s="540"/>
      <c r="T52" s="529"/>
      <c r="U52" s="529"/>
      <c r="V52" s="529"/>
      <c r="W52" s="529"/>
      <c r="X52" s="529"/>
      <c r="Y52" s="529"/>
      <c r="Z52" s="529"/>
      <c r="AA52" s="529"/>
      <c r="AB52" s="541"/>
      <c r="AC52" s="542"/>
      <c r="AD52" s="864"/>
      <c r="AE52" s="506"/>
      <c r="AF52" s="506"/>
      <c r="AG52" s="94">
        <f t="shared" si="1"/>
        <v>47</v>
      </c>
      <c r="AH52" s="98" t="str">
        <f>IF(AF6&lt;47,"",VLOOKUP(47,B6:N70,4,FALSE))</f>
        <v/>
      </c>
      <c r="AI52" s="94" t="str">
        <f>IF(AF6&lt;47,"",VLOOKUP(47,B6:N70,10,FALSE))</f>
        <v/>
      </c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6"/>
      <c r="C53" s="524"/>
      <c r="D53" s="618"/>
      <c r="E53" s="574"/>
      <c r="F53" s="571">
        <f>SUM(F48:F52)</f>
        <v>0</v>
      </c>
      <c r="G53" s="571">
        <f>SUM(G48:G52)</f>
        <v>0</v>
      </c>
      <c r="H53" s="571">
        <f>SUM(H48:H52)</f>
        <v>0</v>
      </c>
      <c r="I53" s="571">
        <f>SUM(I48:I52)</f>
        <v>0</v>
      </c>
      <c r="J53" s="571">
        <f>SUM(J48:J52)</f>
        <v>0</v>
      </c>
      <c r="K53" s="619"/>
      <c r="L53" s="619"/>
      <c r="M53" s="648"/>
      <c r="N53" s="619"/>
      <c r="O53" s="619">
        <f>SUM(F53:J53)</f>
        <v>0</v>
      </c>
      <c r="P53" s="661">
        <f>MAX(F53:J53)+0.003</f>
        <v>3.0000000000000001E-3</v>
      </c>
      <c r="Q53" s="620" t="str">
        <f>IF(F48="","",SUM(O53*1000)+P53)</f>
        <v/>
      </c>
      <c r="R53" s="621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893">
        <f>SUM(O47,O53)</f>
        <v>0</v>
      </c>
      <c r="AD53" s="893"/>
      <c r="AE53" s="506"/>
      <c r="AF53" s="506"/>
      <c r="AG53" s="94">
        <f t="shared" si="1"/>
        <v>48</v>
      </c>
      <c r="AH53" s="98" t="str">
        <f>IF(AF6&lt;48,"",VLOOKUP(48,B6:N70,4,FALSE))</f>
        <v/>
      </c>
      <c r="AI53" s="94" t="str">
        <f>IF(AF6&lt;48,"",VLOOKUP(48,B6:N70,10,FALSE))</f>
        <v/>
      </c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6"/>
      <c r="B54" t="str">
        <f>IF(F54="","",N54)</f>
        <v/>
      </c>
      <c r="C54" s="884">
        <v>9</v>
      </c>
      <c r="D54" s="900" t="s">
        <v>136</v>
      </c>
      <c r="E54" s="704"/>
      <c r="F54" s="695"/>
      <c r="G54" s="695"/>
      <c r="H54" s="695"/>
      <c r="I54" s="695"/>
      <c r="J54" s="695"/>
      <c r="K54" s="582">
        <f>SUM(F54:J54)</f>
        <v>0</v>
      </c>
      <c r="L54" s="582">
        <f>MAX(F54:J54)</f>
        <v>0</v>
      </c>
      <c r="M54" s="649">
        <f>SUM(K54*1000)+L54+0.015</f>
        <v>1.4999999999999999E-2</v>
      </c>
      <c r="N54" s="595" t="str">
        <f>IF(F54="","",RANK(M54,M6:M70,0))</f>
        <v/>
      </c>
      <c r="O54" s="582"/>
      <c r="P54" s="662"/>
      <c r="Q54" s="597"/>
      <c r="R54" s="881" t="str">
        <f>IF(F54="","",RANK(Q59,Q11:Q71,0))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VRŠOVICE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VRŠOVICE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6"/>
      <c r="AF54" s="506"/>
      <c r="AG54" s="94">
        <f t="shared" si="1"/>
        <v>49</v>
      </c>
      <c r="AH54" s="98" t="str">
        <f>IF(AF6&lt;49,"",VLOOKUP(49,B6:N70,4,FALSE))</f>
        <v/>
      </c>
      <c r="AI54" s="94" t="str">
        <f>IF(AF6&lt;49,"",VLOOKUP(49,B6:N70,10,FALSE))</f>
        <v/>
      </c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6"/>
      <c r="B55" t="str">
        <f>IF(F55="","",N55)</f>
        <v/>
      </c>
      <c r="C55" s="885"/>
      <c r="D55" s="901"/>
      <c r="E55" s="703"/>
      <c r="F55" s="696"/>
      <c r="G55" s="696"/>
      <c r="H55" s="696"/>
      <c r="I55" s="696"/>
      <c r="J55" s="696"/>
      <c r="K55" s="584">
        <f>SUM(F55:J55)</f>
        <v>0</v>
      </c>
      <c r="L55" s="580">
        <f>MAX(F55:J55)</f>
        <v>0</v>
      </c>
      <c r="M55" s="650">
        <f>SUM(K55*1000)+L55+0.014</f>
        <v>1.4E-2</v>
      </c>
      <c r="N55" s="585" t="str">
        <f>IF(F55="","",RANK(M55,M6:M70,0))</f>
        <v/>
      </c>
      <c r="O55" s="584"/>
      <c r="P55" s="663"/>
      <c r="Q55" s="586"/>
      <c r="R55" s="882"/>
      <c r="S55" s="538"/>
      <c r="T55" s="528"/>
      <c r="U55" s="528"/>
      <c r="V55" s="528"/>
      <c r="W55" s="528"/>
      <c r="X55" s="528"/>
      <c r="Y55" s="528"/>
      <c r="Z55" s="528"/>
      <c r="AA55" s="528"/>
      <c r="AB55" s="539"/>
      <c r="AC55" s="555"/>
      <c r="AD55" s="863"/>
      <c r="AE55" s="506"/>
      <c r="AF55" s="506"/>
      <c r="AG55" s="94">
        <f t="shared" si="1"/>
        <v>50</v>
      </c>
      <c r="AH55" s="98" t="str">
        <f>IF(AF6&lt;50,"",VLOOKUP(50,B6:N70,4,FALSE))</f>
        <v/>
      </c>
      <c r="AI55" s="94" t="str">
        <f>IF(AF6&lt;50,"",VLOOKUP(50,B6:N70,10,FALSE))</f>
        <v/>
      </c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6"/>
      <c r="B56" t="str">
        <f>IF(F56="","",N56)</f>
        <v/>
      </c>
      <c r="C56" s="885"/>
      <c r="D56" s="901"/>
      <c r="E56" s="703"/>
      <c r="F56" s="696"/>
      <c r="G56" s="696"/>
      <c r="H56" s="696"/>
      <c r="I56" s="696"/>
      <c r="J56" s="696"/>
      <c r="K56" s="584">
        <f>SUM(F56:J56)</f>
        <v>0</v>
      </c>
      <c r="L56" s="580">
        <f>MAX(F56:J56)</f>
        <v>0</v>
      </c>
      <c r="M56" s="650">
        <f>SUM(K56*1000)+L56+0.013</f>
        <v>1.2999999999999999E-2</v>
      </c>
      <c r="N56" s="585" t="str">
        <f>IF(F56="","",RANK(M56,M6:M70,0))</f>
        <v/>
      </c>
      <c r="O56" s="584"/>
      <c r="P56" s="663"/>
      <c r="Q56" s="586"/>
      <c r="R56" s="882"/>
      <c r="S56" s="538"/>
      <c r="T56" s="528"/>
      <c r="U56" s="528"/>
      <c r="V56" s="528"/>
      <c r="W56" s="528"/>
      <c r="X56" s="528"/>
      <c r="Y56" s="528"/>
      <c r="Z56" s="528"/>
      <c r="AA56" s="528"/>
      <c r="AB56" s="539"/>
      <c r="AC56" s="555"/>
      <c r="AD56" s="863"/>
      <c r="AE56" s="506"/>
      <c r="AF56" s="506"/>
      <c r="AG56" s="94">
        <f t="shared" si="1"/>
        <v>51</v>
      </c>
      <c r="AH56" s="98" t="str">
        <f>IF(AF6&lt;51,"",VLOOKUP(51,B6:N70,4,FALSE))</f>
        <v/>
      </c>
      <c r="AI56" s="94" t="str">
        <f>IF(AF6&lt;51,"",VLOOKUP(51,B6:N70,10,FALSE))</f>
        <v/>
      </c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6"/>
      <c r="B57" t="str">
        <f>IF(F57="","",N57)</f>
        <v/>
      </c>
      <c r="C57" s="885"/>
      <c r="D57" s="901"/>
      <c r="E57" s="703"/>
      <c r="F57" s="696"/>
      <c r="G57" s="696"/>
      <c r="H57" s="696"/>
      <c r="I57" s="696"/>
      <c r="J57" s="696"/>
      <c r="K57" s="584">
        <f>SUM(F57:J57)</f>
        <v>0</v>
      </c>
      <c r="L57" s="580">
        <f>MAX(F57:J57)</f>
        <v>0</v>
      </c>
      <c r="M57" s="650">
        <f>SUM(K57*1000)+L57+0.012</f>
        <v>1.2E-2</v>
      </c>
      <c r="N57" s="585" t="str">
        <f>IF(F57="","",RANK(M57,M6:M70,0))</f>
        <v/>
      </c>
      <c r="O57" s="584"/>
      <c r="P57" s="663"/>
      <c r="Q57" s="586"/>
      <c r="R57" s="882"/>
      <c r="S57" s="538"/>
      <c r="T57" s="528"/>
      <c r="U57" s="528"/>
      <c r="V57" s="528"/>
      <c r="W57" s="528"/>
      <c r="X57" s="528"/>
      <c r="Y57" s="528"/>
      <c r="Z57" s="528"/>
      <c r="AA57" s="528"/>
      <c r="AB57" s="539"/>
      <c r="AC57" s="555"/>
      <c r="AD57" s="863"/>
      <c r="AE57" s="506"/>
      <c r="AF57" s="506"/>
      <c r="AG57" s="94">
        <f t="shared" si="1"/>
        <v>52</v>
      </c>
      <c r="AH57" s="98" t="str">
        <f>IF(AF6&lt;52,"",VLOOKUP(52,B6:N70,4,FALSE))</f>
        <v/>
      </c>
      <c r="AI57" s="94" t="str">
        <f>IF(AF6&lt;52,"",VLOOKUP(52,B6:N70,10,FALSE))</f>
        <v/>
      </c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6"/>
      <c r="B58" t="str">
        <f>IF(F58="","",N58)</f>
        <v/>
      </c>
      <c r="C58" s="886"/>
      <c r="D58" s="902"/>
      <c r="E58" s="703"/>
      <c r="F58" s="697"/>
      <c r="G58" s="697"/>
      <c r="H58" s="697"/>
      <c r="I58" s="697"/>
      <c r="J58" s="697"/>
      <c r="K58" s="598">
        <f>SUM(F58:J58)</f>
        <v>0</v>
      </c>
      <c r="L58" s="588">
        <f>MAX(F58:J58)</f>
        <v>0</v>
      </c>
      <c r="M58" s="651">
        <f>SUM(K58*1000)+L58+0.011</f>
        <v>1.0999999999999999E-2</v>
      </c>
      <c r="N58" s="596" t="str">
        <f>IF(F58="","",RANK(M58,M6:M70,0))</f>
        <v/>
      </c>
      <c r="O58" s="598"/>
      <c r="P58" s="664"/>
      <c r="Q58" s="599"/>
      <c r="R58" s="883"/>
      <c r="S58" s="540"/>
      <c r="T58" s="529"/>
      <c r="U58" s="529"/>
      <c r="V58" s="529"/>
      <c r="W58" s="529"/>
      <c r="X58" s="529"/>
      <c r="Y58" s="529"/>
      <c r="Z58" s="529"/>
      <c r="AA58" s="529"/>
      <c r="AB58" s="541"/>
      <c r="AC58" s="555"/>
      <c r="AD58" s="863"/>
      <c r="AE58" s="506"/>
      <c r="AF58" s="506"/>
      <c r="AG58" s="94">
        <f t="shared" si="1"/>
        <v>53</v>
      </c>
      <c r="AH58" s="98" t="str">
        <f>IF(AF6&lt;53,"",VLOOKUP(53,B6:N70,4,FALSE))</f>
        <v/>
      </c>
      <c r="AI58" s="94" t="str">
        <f>IF(AF6&lt;53,"",VLOOKUP(53,B6:N70,10,FALSE))</f>
        <v/>
      </c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6"/>
      <c r="C59" s="525"/>
      <c r="D59" s="615"/>
      <c r="E59" s="497"/>
      <c r="F59" s="570">
        <f>SUM(F54:F58)</f>
        <v>0</v>
      </c>
      <c r="G59" s="570">
        <f>SUM(G54:G58)</f>
        <v>0</v>
      </c>
      <c r="H59" s="570">
        <f>SUM(H54:H58)</f>
        <v>0</v>
      </c>
      <c r="I59" s="570">
        <f>SUM(I54:I58)</f>
        <v>0</v>
      </c>
      <c r="J59" s="570">
        <f>SUM(J54:J58)</f>
        <v>0</v>
      </c>
      <c r="K59" s="616"/>
      <c r="L59" s="616"/>
      <c r="M59" s="653"/>
      <c r="N59" s="616"/>
      <c r="O59" s="616">
        <f>SUM(F59:J59)</f>
        <v>0</v>
      </c>
      <c r="P59" s="665">
        <f>MAX(F59:J59)+0.002</f>
        <v>2E-3</v>
      </c>
      <c r="Q59" s="617" t="str">
        <f>IF(F54="","",SUM(O59*1000)+P59)</f>
        <v/>
      </c>
      <c r="R59" s="625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2"/>
      <c r="AD59" s="863"/>
      <c r="AE59" s="506"/>
      <c r="AF59" s="506"/>
      <c r="AG59" s="94">
        <f t="shared" si="1"/>
        <v>54</v>
      </c>
      <c r="AH59" s="98" t="str">
        <f>IF(AF6&lt;54,"",VLOOKUP(54,B6:N70,4,FALSE))</f>
        <v/>
      </c>
      <c r="AI59" s="94" t="str">
        <f>IF(AF6&lt;54,"",VLOOKUP(54,B6:N70,10,FALSE))</f>
        <v/>
      </c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6"/>
      <c r="B60" t="str">
        <f>IF(F60="","",N60)</f>
        <v/>
      </c>
      <c r="C60" s="884">
        <v>10</v>
      </c>
      <c r="D60" s="900" t="s">
        <v>137</v>
      </c>
      <c r="E60" s="704"/>
      <c r="F60" s="709"/>
      <c r="G60" s="709"/>
      <c r="H60" s="709"/>
      <c r="I60" s="709"/>
      <c r="J60" s="709"/>
      <c r="K60" s="582">
        <f>SUM(F60:J60)</f>
        <v>0</v>
      </c>
      <c r="L60" s="582">
        <f>MAX(F60:J60)</f>
        <v>0</v>
      </c>
      <c r="M60" s="649">
        <f>SUM(K60*1000)+L60+0.01</f>
        <v>0.01</v>
      </c>
      <c r="N60" s="595" t="str">
        <f>IF(F60="","",RANK(M60,M6:M70,0))</f>
        <v/>
      </c>
      <c r="O60" s="582"/>
      <c r="P60" s="662"/>
      <c r="Q60" s="597"/>
      <c r="R60" s="890" t="str">
        <f>IF(F60="","",RANK(Q65,Q11:Q71,0))</f>
        <v/>
      </c>
      <c r="S60" s="537"/>
      <c r="T60" s="527"/>
      <c r="U60" s="543" t="str">
        <f>IF(R60="","",R60)</f>
        <v/>
      </c>
      <c r="V60" s="544" t="str">
        <f>IF(D60="","",D60)</f>
        <v>VRŠOVICE II.</v>
      </c>
      <c r="W60" s="547">
        <f>IF(O65="","",O65)</f>
        <v>0</v>
      </c>
      <c r="X60" s="527"/>
      <c r="Y60" s="527"/>
      <c r="Z60" s="527"/>
      <c r="AA60" s="527"/>
      <c r="AB60" s="548"/>
      <c r="AC60" s="555"/>
      <c r="AD60" s="863"/>
      <c r="AE60" s="506"/>
      <c r="AF60" s="506"/>
      <c r="AG60" s="94">
        <f t="shared" si="1"/>
        <v>55</v>
      </c>
      <c r="AH60" s="98" t="str">
        <f>IF(AF6&lt;55,"",VLOOKUP(55,B6:N70,4,FALSE))</f>
        <v/>
      </c>
      <c r="AI60" s="94" t="str">
        <f>IF(AF6&lt;55,"",VLOOKUP(55,B6:N70,10,FALSE))</f>
        <v/>
      </c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6"/>
      <c r="B61" t="str">
        <f>IF(F61="","",N61)</f>
        <v/>
      </c>
      <c r="C61" s="885"/>
      <c r="D61" s="901"/>
      <c r="E61" s="703"/>
      <c r="F61" s="710"/>
      <c r="G61" s="710"/>
      <c r="H61" s="710"/>
      <c r="I61" s="710"/>
      <c r="J61" s="710"/>
      <c r="K61" s="584">
        <f>SUM(F61:J61)</f>
        <v>0</v>
      </c>
      <c r="L61" s="580">
        <f>MAX(F61:J61)</f>
        <v>0</v>
      </c>
      <c r="M61" s="650">
        <f>SUM(K61*1000)+L61+0.009</f>
        <v>8.9999999999999993E-3</v>
      </c>
      <c r="N61" s="585" t="str">
        <f>IF(F61="","",RANK(M61,M6:M70,0))</f>
        <v/>
      </c>
      <c r="O61" s="584"/>
      <c r="P61" s="663"/>
      <c r="Q61" s="586"/>
      <c r="R61" s="891"/>
      <c r="S61" s="538"/>
      <c r="T61" s="528"/>
      <c r="U61" s="528"/>
      <c r="V61" s="528"/>
      <c r="W61" s="528"/>
      <c r="X61" s="528"/>
      <c r="Y61" s="528"/>
      <c r="Z61" s="528"/>
      <c r="AA61" s="528"/>
      <c r="AB61" s="539"/>
      <c r="AC61" s="555"/>
      <c r="AD61" s="863"/>
      <c r="AE61" s="506"/>
      <c r="AF61" s="506"/>
      <c r="AG61" s="506"/>
      <c r="AH61" s="506"/>
      <c r="AI61" s="510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6"/>
      <c r="B62" t="str">
        <f>IF(F62="","",N62)</f>
        <v/>
      </c>
      <c r="C62" s="885"/>
      <c r="D62" s="901"/>
      <c r="E62" s="703"/>
      <c r="F62" s="710"/>
      <c r="G62" s="710"/>
      <c r="H62" s="710"/>
      <c r="I62" s="710"/>
      <c r="J62" s="710"/>
      <c r="K62" s="584">
        <f>SUM(F62:J62)</f>
        <v>0</v>
      </c>
      <c r="L62" s="580">
        <f>MAX(F62:J62)</f>
        <v>0</v>
      </c>
      <c r="M62" s="650">
        <f>SUM(K62*1000)+L62+0.008</f>
        <v>8.0000000000000002E-3</v>
      </c>
      <c r="N62" s="585" t="str">
        <f>IF(F62="","",RANK(M62,M6:M70,0))</f>
        <v/>
      </c>
      <c r="O62" s="584"/>
      <c r="P62" s="663"/>
      <c r="Q62" s="586"/>
      <c r="R62" s="891"/>
      <c r="S62" s="538"/>
      <c r="T62" s="528"/>
      <c r="U62" s="528"/>
      <c r="V62" s="528"/>
      <c r="W62" s="528"/>
      <c r="X62" s="528"/>
      <c r="Y62" s="528"/>
      <c r="Z62" s="528"/>
      <c r="AA62" s="528"/>
      <c r="AB62" s="539"/>
      <c r="AC62" s="555"/>
      <c r="AD62" s="863"/>
      <c r="AE62" s="506"/>
      <c r="AF62" s="506"/>
      <c r="AG62" s="506"/>
      <c r="AH62" s="506"/>
      <c r="AI62" s="510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6"/>
      <c r="B63" t="str">
        <f>IF(F63="","",N63)</f>
        <v/>
      </c>
      <c r="C63" s="885"/>
      <c r="D63" s="901"/>
      <c r="E63" s="703"/>
      <c r="F63" s="710"/>
      <c r="G63" s="710"/>
      <c r="H63" s="710"/>
      <c r="I63" s="710"/>
      <c r="J63" s="710"/>
      <c r="K63" s="584">
        <f>SUM(F63:J63)</f>
        <v>0</v>
      </c>
      <c r="L63" s="580">
        <f>MAX(F63:J63)</f>
        <v>0</v>
      </c>
      <c r="M63" s="650">
        <f>SUM(K63*1000)+L63+0.007</f>
        <v>7.0000000000000001E-3</v>
      </c>
      <c r="N63" s="585" t="str">
        <f>IF(F63="","",RANK(M63,M6:M70,0))</f>
        <v/>
      </c>
      <c r="O63" s="584"/>
      <c r="P63" s="663"/>
      <c r="Q63" s="586"/>
      <c r="R63" s="891"/>
      <c r="S63" s="538"/>
      <c r="T63" s="528"/>
      <c r="U63" s="528"/>
      <c r="V63" s="528"/>
      <c r="W63" s="528"/>
      <c r="X63" s="528"/>
      <c r="Y63" s="528"/>
      <c r="Z63" s="528"/>
      <c r="AA63" s="528"/>
      <c r="AB63" s="539"/>
      <c r="AC63" s="555"/>
      <c r="AD63" s="863"/>
      <c r="AE63" s="506"/>
      <c r="AF63" s="506"/>
      <c r="AG63" s="506"/>
      <c r="AH63" s="506"/>
      <c r="AI63" s="510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6"/>
      <c r="B64" t="str">
        <f>IF(F64="","",N64)</f>
        <v/>
      </c>
      <c r="C64" s="886"/>
      <c r="D64" s="902"/>
      <c r="E64" s="703"/>
      <c r="F64" s="711"/>
      <c r="G64" s="711"/>
      <c r="H64" s="711"/>
      <c r="I64" s="711"/>
      <c r="J64" s="711"/>
      <c r="K64" s="598">
        <f>SUM(F64:J64)</f>
        <v>0</v>
      </c>
      <c r="L64" s="588">
        <f>MAX(F64:J64)</f>
        <v>0</v>
      </c>
      <c r="M64" s="651">
        <f>SUM(K64*1000)+L64+0.006</f>
        <v>6.0000000000000001E-3</v>
      </c>
      <c r="N64" s="596" t="str">
        <f>IF(F64="","",RANK(M64,M6:M70,0))</f>
        <v/>
      </c>
      <c r="O64" s="598"/>
      <c r="P64" s="664"/>
      <c r="Q64" s="599"/>
      <c r="R64" s="892"/>
      <c r="S64" s="540"/>
      <c r="T64" s="529"/>
      <c r="U64" s="529"/>
      <c r="V64" s="529"/>
      <c r="W64" s="529"/>
      <c r="X64" s="529"/>
      <c r="Y64" s="529"/>
      <c r="Z64" s="529"/>
      <c r="AA64" s="529"/>
      <c r="AB64" s="541"/>
      <c r="AC64" s="542"/>
      <c r="AD64" s="864"/>
      <c r="AE64" s="506"/>
      <c r="AF64" s="506"/>
      <c r="AG64" s="506"/>
      <c r="AH64" s="506"/>
      <c r="AI64" s="510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6"/>
      <c r="C65" s="524"/>
      <c r="D65" s="618"/>
      <c r="E65" s="574"/>
      <c r="F65" s="571">
        <f>SUM(F60:F64)</f>
        <v>0</v>
      </c>
      <c r="G65" s="571">
        <f>SUM(G60:G64)</f>
        <v>0</v>
      </c>
      <c r="H65" s="571">
        <f>SUM(H60:H64)</f>
        <v>0</v>
      </c>
      <c r="I65" s="571">
        <f>SUM(I60:I64)</f>
        <v>0</v>
      </c>
      <c r="J65" s="571">
        <f>SUM(J60:J64)</f>
        <v>0</v>
      </c>
      <c r="K65" s="619"/>
      <c r="L65" s="619"/>
      <c r="M65" s="648"/>
      <c r="N65" s="619"/>
      <c r="O65" s="619">
        <f>SUM(F65:J65)</f>
        <v>0</v>
      </c>
      <c r="P65" s="661">
        <f>MAX(F65:J65)+0.001</f>
        <v>1E-3</v>
      </c>
      <c r="Q65" s="620" t="str">
        <f>IF(F60="","",SUM(O65*1000)+P65)</f>
        <v/>
      </c>
      <c r="R65" s="621"/>
      <c r="S65" s="504"/>
      <c r="T65" s="504"/>
      <c r="U65" s="504"/>
      <c r="V65" s="504"/>
      <c r="W65" s="556"/>
      <c r="X65" s="504"/>
      <c r="Y65" s="504"/>
      <c r="Z65" s="504"/>
      <c r="AA65" s="504"/>
      <c r="AB65" s="504"/>
      <c r="AC65" s="906">
        <f>SUM(O59,O65)</f>
        <v>0</v>
      </c>
      <c r="AD65" s="906"/>
      <c r="AE65" s="506"/>
      <c r="AF65" s="506"/>
      <c r="AG65" s="506"/>
      <c r="AH65" s="506"/>
      <c r="AI65" s="510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5" customHeight="1">
      <c r="A66" s="506"/>
      <c r="B66" t="str">
        <f>IF(F66="","",N66)</f>
        <v/>
      </c>
      <c r="C66" s="884">
        <v>11</v>
      </c>
      <c r="D66" s="900" t="s">
        <v>193</v>
      </c>
      <c r="E66" s="704"/>
      <c r="F66" s="709"/>
      <c r="G66" s="709"/>
      <c r="H66" s="709"/>
      <c r="I66" s="709"/>
      <c r="J66" s="709"/>
      <c r="K66" s="580">
        <f>SUM(F66:J66)</f>
        <v>0</v>
      </c>
      <c r="L66" s="580">
        <f>MAX(F66:J66)</f>
        <v>0</v>
      </c>
      <c r="M66" s="650">
        <f>SUM(K66*1000)+L66-0.005</f>
        <v>-5.0000000000000001E-3</v>
      </c>
      <c r="N66" s="581" t="str">
        <f>IF(F66="","",RANK(M66,M6:M70,0))</f>
        <v/>
      </c>
      <c r="O66" s="580"/>
      <c r="P66" s="666"/>
      <c r="Q66" s="583"/>
      <c r="R66" s="890" t="str">
        <f>IF(F66="","",RANK(Q71,Q11:Q71,0))</f>
        <v/>
      </c>
      <c r="S66" s="637"/>
      <c r="T66" s="638"/>
      <c r="U66" s="543" t="str">
        <f>IF(R66="","",R66)</f>
        <v/>
      </c>
      <c r="V66" s="544" t="str">
        <f>IF(D66="","",D66)</f>
        <v>VRŠOVICE III.</v>
      </c>
      <c r="W66" s="547">
        <f>IF(O71="","",O71)</f>
        <v>0</v>
      </c>
      <c r="X66" s="638"/>
      <c r="Y66" s="638"/>
      <c r="Z66" s="638"/>
      <c r="AA66" s="638"/>
      <c r="AB66" s="639"/>
      <c r="AC66" s="656"/>
      <c r="AD66" s="907" t="str">
        <f>IF(E66="","","Mimo soutěž garáží")</f>
        <v/>
      </c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5" customHeight="1">
      <c r="A67" s="506"/>
      <c r="B67" t="str">
        <f>IF(F67="","",N67)</f>
        <v/>
      </c>
      <c r="C67" s="885"/>
      <c r="D67" s="901"/>
      <c r="E67" s="703"/>
      <c r="F67" s="710"/>
      <c r="G67" s="710"/>
      <c r="H67" s="710"/>
      <c r="I67" s="710"/>
      <c r="J67" s="710"/>
      <c r="K67" s="584">
        <f>SUM(F67:J67)</f>
        <v>0</v>
      </c>
      <c r="L67" s="580">
        <f>MAX(F67:J67)</f>
        <v>0</v>
      </c>
      <c r="M67" s="650">
        <f>SUM(K67*1000)+L67-0.004</f>
        <v>-4.0000000000000001E-3</v>
      </c>
      <c r="N67" s="585" t="str">
        <f>IF(F67="","",RANK(M67,M6:M70,0))</f>
        <v/>
      </c>
      <c r="O67" s="584"/>
      <c r="P67" s="663"/>
      <c r="Q67" s="586"/>
      <c r="R67" s="891"/>
      <c r="S67" s="640"/>
      <c r="T67" s="573"/>
      <c r="U67" s="573"/>
      <c r="V67" s="573"/>
      <c r="W67" s="573"/>
      <c r="X67" s="573"/>
      <c r="Y67" s="573"/>
      <c r="Z67" s="573"/>
      <c r="AA67" s="573"/>
      <c r="AB67" s="641"/>
      <c r="AC67" s="657"/>
      <c r="AD67" s="908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5" customHeight="1">
      <c r="A68" s="506"/>
      <c r="B68" t="str">
        <f>IF(F68="","",N68)</f>
        <v/>
      </c>
      <c r="C68" s="885"/>
      <c r="D68" s="901"/>
      <c r="E68" s="703"/>
      <c r="F68" s="710"/>
      <c r="G68" s="710"/>
      <c r="H68" s="710"/>
      <c r="I68" s="710"/>
      <c r="J68" s="710"/>
      <c r="K68" s="584">
        <f>SUM(F68:J68)</f>
        <v>0</v>
      </c>
      <c r="L68" s="580">
        <f>MAX(F68:J68)</f>
        <v>0</v>
      </c>
      <c r="M68" s="650">
        <f>SUM(K68*1000)+L68-0.003</f>
        <v>-3.0000000000000001E-3</v>
      </c>
      <c r="N68" s="585" t="str">
        <f>IF(F68="","",RANK(M68,M6:M70,0))</f>
        <v/>
      </c>
      <c r="O68" s="584"/>
      <c r="P68" s="663"/>
      <c r="Q68" s="586"/>
      <c r="R68" s="891"/>
      <c r="S68" s="640"/>
      <c r="T68" s="573"/>
      <c r="U68" s="573"/>
      <c r="V68" s="573"/>
      <c r="W68" s="573"/>
      <c r="X68" s="573"/>
      <c r="Y68" s="573"/>
      <c r="Z68" s="573"/>
      <c r="AA68" s="573"/>
      <c r="AB68" s="641"/>
      <c r="AC68" s="657"/>
      <c r="AD68" s="908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5" customHeight="1">
      <c r="A69" s="506"/>
      <c r="B69" t="str">
        <f>IF(F69="","",N69)</f>
        <v/>
      </c>
      <c r="C69" s="885"/>
      <c r="D69" s="901"/>
      <c r="E69" s="703"/>
      <c r="F69" s="710"/>
      <c r="G69" s="710"/>
      <c r="H69" s="710"/>
      <c r="I69" s="710"/>
      <c r="J69" s="710"/>
      <c r="K69" s="584">
        <f>SUM(F69:J69)</f>
        <v>0</v>
      </c>
      <c r="L69" s="580">
        <f>MAX(F69:J69)</f>
        <v>0</v>
      </c>
      <c r="M69" s="650">
        <f>SUM(K69*1000)+L69+0.002</f>
        <v>2E-3</v>
      </c>
      <c r="N69" s="585" t="str">
        <f>IF(F69="","",RANK(M69,M6:M70,0))</f>
        <v/>
      </c>
      <c r="O69" s="584"/>
      <c r="P69" s="663"/>
      <c r="Q69" s="586"/>
      <c r="R69" s="891"/>
      <c r="S69" s="640"/>
      <c r="T69" s="573"/>
      <c r="U69" s="573"/>
      <c r="V69" s="573"/>
      <c r="W69" s="573"/>
      <c r="X69" s="573"/>
      <c r="Y69" s="573"/>
      <c r="Z69" s="573"/>
      <c r="AA69" s="573"/>
      <c r="AB69" s="641"/>
      <c r="AC69" s="657"/>
      <c r="AD69" s="908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5" customHeight="1">
      <c r="A70" s="506"/>
      <c r="B70" t="str">
        <f>IF(F70="","",N70)</f>
        <v/>
      </c>
      <c r="C70" s="885"/>
      <c r="D70" s="901"/>
      <c r="E70" s="703"/>
      <c r="F70" s="711"/>
      <c r="G70" s="712"/>
      <c r="H70" s="712"/>
      <c r="I70" s="712"/>
      <c r="J70" s="712"/>
      <c r="K70" s="626">
        <f>SUM(F70:J70)</f>
        <v>0</v>
      </c>
      <c r="L70" s="627">
        <f>MAX(F70:J70)</f>
        <v>0</v>
      </c>
      <c r="M70" s="654">
        <f>SUM(K70*1000)+L70+0.001</f>
        <v>1E-3</v>
      </c>
      <c r="N70" s="628" t="str">
        <f>IF(F70="","",RANK(M70,M6:M70,0))</f>
        <v/>
      </c>
      <c r="O70" s="626"/>
      <c r="P70" s="667"/>
      <c r="Q70" s="629"/>
      <c r="R70" s="892"/>
      <c r="S70" s="642"/>
      <c r="T70" s="643"/>
      <c r="U70" s="643"/>
      <c r="V70" s="643"/>
      <c r="W70" s="643"/>
      <c r="X70" s="643"/>
      <c r="Y70" s="643"/>
      <c r="Z70" s="643"/>
      <c r="AA70" s="643"/>
      <c r="AB70" s="644"/>
      <c r="AC70" s="658"/>
      <c r="AD70" s="909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C71" s="630"/>
      <c r="D71" s="631"/>
      <c r="E71" s="632"/>
      <c r="F71" s="633">
        <f>SUM(F66:F70)</f>
        <v>0</v>
      </c>
      <c r="G71" s="633">
        <f>SUM(G66:G70)</f>
        <v>0</v>
      </c>
      <c r="H71" s="633">
        <f>SUM(H66:H70)</f>
        <v>0</v>
      </c>
      <c r="I71" s="633">
        <f>SUM(I66:I70)</f>
        <v>0</v>
      </c>
      <c r="J71" s="633">
        <f>SUM(J66:J70)</f>
        <v>0</v>
      </c>
      <c r="K71" s="634"/>
      <c r="L71" s="634">
        <f>MAX(L12:L70,L6:L10)</f>
        <v>0</v>
      </c>
      <c r="M71" s="634"/>
      <c r="N71" s="634"/>
      <c r="O71" s="634">
        <f>SUM(F71:J71)</f>
        <v>0</v>
      </c>
      <c r="P71" s="668">
        <f>MAX(F71:J71)</f>
        <v>0</v>
      </c>
      <c r="Q71" s="635" t="str">
        <f>IF(F66="","",SUM(O71*1000)+P71)</f>
        <v/>
      </c>
      <c r="R71" s="63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06"/>
      <c r="Q80" s="506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06"/>
      <c r="Q84" s="506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6"/>
      <c r="AK84" s="506"/>
      <c r="AL84" s="506"/>
      <c r="AM84" s="506"/>
      <c r="AN84" s="506"/>
      <c r="AO84" s="506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06"/>
      <c r="Q85" s="506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06"/>
      <c r="Q88" s="506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06"/>
      <c r="Q92" s="506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06"/>
      <c r="AJ92" s="506"/>
      <c r="AK92" s="506"/>
      <c r="AL92" s="506"/>
      <c r="AM92" s="506"/>
      <c r="AN92" s="506"/>
      <c r="AO92" s="506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06"/>
      <c r="AJ93" s="506"/>
      <c r="AK93" s="506"/>
      <c r="AL93" s="506"/>
      <c r="AM93" s="506"/>
      <c r="AN93" s="506"/>
      <c r="AO93" s="506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06"/>
      <c r="Q94" s="506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06"/>
      <c r="AJ94" s="506"/>
      <c r="AK94" s="506"/>
      <c r="AL94" s="506"/>
      <c r="AM94" s="506"/>
      <c r="AN94" s="506"/>
      <c r="AO94" s="506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506"/>
      <c r="AK97" s="506"/>
      <c r="AL97" s="506"/>
      <c r="AM97" s="506"/>
      <c r="AN97" s="506"/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51">
    <mergeCell ref="R60:R64"/>
    <mergeCell ref="R66:R70"/>
    <mergeCell ref="D60:D64"/>
    <mergeCell ref="C60:C64"/>
    <mergeCell ref="D42:D46"/>
    <mergeCell ref="C42:C46"/>
    <mergeCell ref="D36:D40"/>
    <mergeCell ref="C36:C40"/>
    <mergeCell ref="D54:D58"/>
    <mergeCell ref="C54:C58"/>
    <mergeCell ref="D48:D52"/>
    <mergeCell ref="C48:C52"/>
    <mergeCell ref="A1:A4"/>
    <mergeCell ref="C5:D5"/>
    <mergeCell ref="N5:O5"/>
    <mergeCell ref="AG5:AI5"/>
    <mergeCell ref="AD6:AD16"/>
    <mergeCell ref="C6:C10"/>
    <mergeCell ref="AC17:AD17"/>
    <mergeCell ref="AD18:AD28"/>
    <mergeCell ref="AC29:AD29"/>
    <mergeCell ref="AD30:AD40"/>
    <mergeCell ref="AC41:AD41"/>
    <mergeCell ref="AD42:AD52"/>
    <mergeCell ref="AC53:AD53"/>
    <mergeCell ref="AD54:AD64"/>
    <mergeCell ref="AC65:AD65"/>
    <mergeCell ref="R18:R22"/>
    <mergeCell ref="R24:R28"/>
    <mergeCell ref="R30:R34"/>
    <mergeCell ref="R36:R40"/>
    <mergeCell ref="R42:R46"/>
    <mergeCell ref="R48:R52"/>
    <mergeCell ref="R54:R58"/>
    <mergeCell ref="D18:D22"/>
    <mergeCell ref="D12:D16"/>
    <mergeCell ref="C12:C16"/>
    <mergeCell ref="D30:D34"/>
    <mergeCell ref="D24:D28"/>
    <mergeCell ref="C30:C34"/>
    <mergeCell ref="C24:C28"/>
    <mergeCell ref="AL6:AN6"/>
    <mergeCell ref="AL19:AN19"/>
    <mergeCell ref="D3:AN3"/>
    <mergeCell ref="C66:C70"/>
    <mergeCell ref="D66:D70"/>
    <mergeCell ref="R6:R10"/>
    <mergeCell ref="R12:R16"/>
    <mergeCell ref="AD66:AD70"/>
    <mergeCell ref="D6:D10"/>
    <mergeCell ref="C18:C22"/>
  </mergeCells>
  <conditionalFormatting sqref="R71 R23:R24 R29:R30 R35:R36 R41:R42 R47:R48 R53:R54 R59:R60 R65:R66 R6 R11:R12 R17:R18">
    <cfRule type="cellIs" dxfId="12" priority="114" stopIfTrue="1" operator="equal">
      <formula>3</formula>
    </cfRule>
    <cfRule type="cellIs" dxfId="11" priority="115" stopIfTrue="1" operator="equal">
      <formula>2</formula>
    </cfRule>
    <cfRule type="cellIs" dxfId="10" priority="116" stopIfTrue="1" operator="equal">
      <formula>1</formula>
    </cfRule>
  </conditionalFormatting>
  <conditionalFormatting sqref="F12:J16 F6:J10 F18:J22 F24:J28 F30:J34 F36:J40 F42:J46 F48:J52 F54:J58 F60:J64 F66:J70">
    <cfRule type="cellIs" dxfId="9" priority="107" stopIfTrue="1" operator="equal">
      <formula>$L$71</formula>
    </cfRule>
  </conditionalFormatting>
  <conditionalFormatting sqref="V6:AB6 AD6:AE6 V12:W12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D54 V18:AB18 V30:AB30 V42:AB42 V54:AB54 AD18 AD30 AD42 V24:W24 V36:W36 V48:W48 V60:W60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V66:W6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ignoredErrors>
    <ignoredError sqref="K66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6">
    <tabColor indexed="40"/>
  </sheetPr>
  <dimension ref="A1:AW125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V1" sqref="AV1"/>
    </sheetView>
  </sheetViews>
  <sheetFormatPr defaultRowHeight="14.25"/>
  <cols>
    <col min="1" max="1" width="8" style="163" bestFit="1" customWidth="1"/>
    <col min="2" max="2" width="22.28515625" style="27" customWidth="1"/>
    <col min="3" max="7" width="4.7109375" style="24" hidden="1" customWidth="1"/>
    <col min="8" max="8" width="5.7109375" style="24" customWidth="1"/>
    <col min="9" max="13" width="4.7109375" style="32" hidden="1" customWidth="1"/>
    <col min="14" max="14" width="5.7109375" style="32" customWidth="1"/>
    <col min="15" max="19" width="4.7109375" style="32" hidden="1" customWidth="1"/>
    <col min="20" max="20" width="5.7109375" style="32" customWidth="1"/>
    <col min="21" max="25" width="4.7109375" style="32" hidden="1" customWidth="1"/>
    <col min="26" max="26" width="5.7109375" style="32" customWidth="1"/>
    <col min="27" max="31" width="4.7109375" style="32" hidden="1" customWidth="1"/>
    <col min="32" max="32" width="5.7109375" style="32" customWidth="1"/>
    <col min="33" max="37" width="4.7109375" style="32" hidden="1" customWidth="1"/>
    <col min="38" max="38" width="5.7109375" style="32" customWidth="1"/>
    <col min="39" max="43" width="4.7109375" style="32" hidden="1" customWidth="1"/>
    <col min="44" max="44" width="5.7109375" style="32" customWidth="1"/>
    <col min="45" max="45" width="9.140625" style="24"/>
    <col min="46" max="46" width="5" style="24" customWidth="1"/>
    <col min="47" max="47" width="11.85546875" style="24" bestFit="1" customWidth="1"/>
    <col min="48" max="16384" width="9.140625" style="24"/>
  </cols>
  <sheetData>
    <row r="1" spans="1:49" ht="19.5" customHeight="1">
      <c r="A1" s="165" t="s">
        <v>46</v>
      </c>
      <c r="B1" s="166" t="s">
        <v>150</v>
      </c>
      <c r="C1" s="920"/>
      <c r="D1" s="921"/>
      <c r="E1" s="921"/>
      <c r="F1" s="921"/>
      <c r="G1" s="922"/>
      <c r="H1" s="167" t="s">
        <v>48</v>
      </c>
      <c r="I1" s="923"/>
      <c r="J1" s="924"/>
      <c r="K1" s="924"/>
      <c r="L1" s="924"/>
      <c r="M1" s="925"/>
      <c r="N1" s="168" t="s">
        <v>49</v>
      </c>
      <c r="O1" s="920"/>
      <c r="P1" s="921"/>
      <c r="Q1" s="921"/>
      <c r="R1" s="921"/>
      <c r="S1" s="922"/>
      <c r="T1" s="168" t="s">
        <v>53</v>
      </c>
      <c r="U1" s="926"/>
      <c r="V1" s="927"/>
      <c r="W1" s="927"/>
      <c r="X1" s="927"/>
      <c r="Y1" s="928"/>
      <c r="Z1" s="168" t="s">
        <v>54</v>
      </c>
      <c r="AA1" s="926"/>
      <c r="AB1" s="927"/>
      <c r="AC1" s="927"/>
      <c r="AD1" s="927"/>
      <c r="AE1" s="928"/>
      <c r="AF1" s="168" t="s">
        <v>55</v>
      </c>
      <c r="AG1" s="920"/>
      <c r="AH1" s="921"/>
      <c r="AI1" s="921"/>
      <c r="AJ1" s="921"/>
      <c r="AK1" s="922"/>
      <c r="AL1" s="168" t="s">
        <v>56</v>
      </c>
      <c r="AM1" s="920"/>
      <c r="AN1" s="921"/>
      <c r="AO1" s="921"/>
      <c r="AP1" s="921"/>
      <c r="AQ1" s="922"/>
      <c r="AR1" s="168" t="s">
        <v>57</v>
      </c>
      <c r="AS1" s="169" t="s">
        <v>47</v>
      </c>
      <c r="AT1" s="170"/>
      <c r="AU1" s="171" t="s">
        <v>50</v>
      </c>
      <c r="AV1" s="692" t="s">
        <v>190</v>
      </c>
    </row>
    <row r="2" spans="1:49" s="27" customFormat="1" ht="15">
      <c r="A2" s="172" t="s">
        <v>39</v>
      </c>
      <c r="B2" s="143" t="s">
        <v>42</v>
      </c>
      <c r="C2" s="34"/>
      <c r="D2" s="34"/>
      <c r="E2" s="34"/>
      <c r="F2" s="34"/>
      <c r="G2" s="35"/>
      <c r="H2" s="223">
        <f>SUM(C2+D2+E2+F2+G2)</f>
        <v>0</v>
      </c>
      <c r="I2" s="239"/>
      <c r="J2" s="239"/>
      <c r="K2" s="239"/>
      <c r="L2" s="239"/>
      <c r="M2" s="239"/>
      <c r="N2" s="223">
        <f>SUM(I2+J2+K2+L2+M2)</f>
        <v>0</v>
      </c>
      <c r="O2" s="228"/>
      <c r="P2" s="228"/>
      <c r="Q2" s="228"/>
      <c r="R2" s="228"/>
      <c r="S2" s="228"/>
      <c r="T2" s="223">
        <f>SUM(O2+P2+Q2+R2+S2)</f>
        <v>0</v>
      </c>
      <c r="U2" s="233"/>
      <c r="V2" s="233"/>
      <c r="W2" s="233"/>
      <c r="X2" s="233"/>
      <c r="Y2" s="233"/>
      <c r="Z2" s="223">
        <f>SUM(U2+V2+W2+X2+Y2)</f>
        <v>0</v>
      </c>
      <c r="AA2" s="233"/>
      <c r="AB2" s="233"/>
      <c r="AC2" s="233"/>
      <c r="AD2" s="233"/>
      <c r="AE2" s="233"/>
      <c r="AF2" s="223">
        <f>SUM(AA2+AB2+AC2+AD2+AE2)</f>
        <v>0</v>
      </c>
      <c r="AG2" s="228"/>
      <c r="AH2" s="228"/>
      <c r="AI2" s="228"/>
      <c r="AJ2" s="228"/>
      <c r="AK2" s="228"/>
      <c r="AL2" s="223">
        <f>SUM(AG2+AH2+AI2+AJ2+AK2)</f>
        <v>0</v>
      </c>
      <c r="AM2" s="228"/>
      <c r="AN2" s="228"/>
      <c r="AO2" s="228"/>
      <c r="AP2" s="228"/>
      <c r="AQ2" s="228"/>
      <c r="AR2" s="223">
        <f>SUM(AM2+AN2+AO2+AP2+AQ2)</f>
        <v>0</v>
      </c>
      <c r="AS2" s="37">
        <f>SUM(N2,H2,T2,Z2,AF2,AL2,AR2)</f>
        <v>0</v>
      </c>
      <c r="AT2" s="26">
        <f>COUNT(C2:G2,I2:M2,O2:S2,U2:Y2,AA2:AE2,AG2:AK2,AM2:AQ2)</f>
        <v>0</v>
      </c>
      <c r="AU2" s="243" t="str">
        <f>IF(AT2=0,"",AS2/AT2)</f>
        <v/>
      </c>
    </row>
    <row r="3" spans="1:49" s="27" customFormat="1" ht="15">
      <c r="A3" s="172" t="s">
        <v>39</v>
      </c>
      <c r="B3" s="143" t="s">
        <v>44</v>
      </c>
      <c r="C3" s="34"/>
      <c r="D3" s="34"/>
      <c r="E3" s="34"/>
      <c r="F3" s="34"/>
      <c r="G3" s="36"/>
      <c r="H3" s="223">
        <f>SUM(C3+D3+E3+F3+G3)</f>
        <v>0</v>
      </c>
      <c r="I3" s="239"/>
      <c r="J3" s="239"/>
      <c r="K3" s="239"/>
      <c r="L3" s="239"/>
      <c r="M3" s="239"/>
      <c r="N3" s="238">
        <f>SUM(I3:M3)</f>
        <v>0</v>
      </c>
      <c r="O3" s="228"/>
      <c r="P3" s="228"/>
      <c r="Q3" s="228"/>
      <c r="R3" s="228"/>
      <c r="S3" s="228"/>
      <c r="T3" s="238">
        <f>SUM(O3:S3)</f>
        <v>0</v>
      </c>
      <c r="U3" s="233"/>
      <c r="V3" s="233"/>
      <c r="W3" s="233"/>
      <c r="X3" s="233"/>
      <c r="Y3" s="233"/>
      <c r="Z3" s="223">
        <f>SUM(U3:Y3)</f>
        <v>0</v>
      </c>
      <c r="AA3" s="226"/>
      <c r="AB3" s="226"/>
      <c r="AC3" s="226"/>
      <c r="AD3" s="226"/>
      <c r="AE3" s="226"/>
      <c r="AF3" s="238">
        <f>SUM(AA3:AE3)</f>
        <v>0</v>
      </c>
      <c r="AG3" s="228"/>
      <c r="AH3" s="228"/>
      <c r="AI3" s="228"/>
      <c r="AJ3" s="228"/>
      <c r="AK3" s="228"/>
      <c r="AL3" s="238">
        <f>SUM(AG3:AK3)</f>
        <v>0</v>
      </c>
      <c r="AM3" s="228"/>
      <c r="AN3" s="228"/>
      <c r="AO3" s="228"/>
      <c r="AP3" s="228"/>
      <c r="AQ3" s="228"/>
      <c r="AR3" s="238">
        <f>SUM(AM3:AQ3)</f>
        <v>0</v>
      </c>
      <c r="AS3" s="37">
        <f>SUM(N3,H3,T3,Z3,AF3,AL3,AR3)</f>
        <v>0</v>
      </c>
      <c r="AT3" s="26">
        <f>COUNT(C3:G3,I3:M3,O3:S3,U3:Y3,AA3:AE3,AG3:AK3,AM3:AQ3)</f>
        <v>0</v>
      </c>
      <c r="AU3" s="243" t="str">
        <f>IF(AT3=0,"",AS3/AT3)</f>
        <v/>
      </c>
    </row>
    <row r="4" spans="1:49" s="27" customFormat="1" ht="15">
      <c r="A4" s="172" t="s">
        <v>39</v>
      </c>
      <c r="B4" s="143" t="s">
        <v>61</v>
      </c>
      <c r="C4" s="34"/>
      <c r="D4" s="34"/>
      <c r="E4" s="34"/>
      <c r="F4" s="34"/>
      <c r="G4" s="36"/>
      <c r="H4" s="223">
        <f>SUM(C4+D4+E4+F4+G4)</f>
        <v>0</v>
      </c>
      <c r="I4" s="239"/>
      <c r="J4" s="239"/>
      <c r="K4" s="239"/>
      <c r="L4" s="239"/>
      <c r="M4" s="239"/>
      <c r="N4" s="223">
        <f>SUM(I4:M4)</f>
        <v>0</v>
      </c>
      <c r="O4" s="240"/>
      <c r="P4" s="240"/>
      <c r="Q4" s="240"/>
      <c r="R4" s="240"/>
      <c r="S4" s="240"/>
      <c r="T4" s="223">
        <f>SUM(O4:S4)</f>
        <v>0</v>
      </c>
      <c r="U4" s="232"/>
      <c r="V4" s="232"/>
      <c r="W4" s="232"/>
      <c r="X4" s="232"/>
      <c r="Y4" s="232"/>
      <c r="Z4" s="223">
        <f>SUM(U4:Y4)</f>
        <v>0</v>
      </c>
      <c r="AA4" s="232"/>
      <c r="AB4" s="232"/>
      <c r="AC4" s="232"/>
      <c r="AD4" s="232"/>
      <c r="AE4" s="232"/>
      <c r="AF4" s="223">
        <f>SUM(AA4:AE4)</f>
        <v>0</v>
      </c>
      <c r="AG4" s="228"/>
      <c r="AH4" s="228"/>
      <c r="AI4" s="228"/>
      <c r="AJ4" s="228"/>
      <c r="AK4" s="228"/>
      <c r="AL4" s="223">
        <f>SUM(AG4:AK4)</f>
        <v>0</v>
      </c>
      <c r="AM4" s="228"/>
      <c r="AN4" s="228"/>
      <c r="AO4" s="228"/>
      <c r="AP4" s="228"/>
      <c r="AQ4" s="228"/>
      <c r="AR4" s="223">
        <f>SUM(AM4:AQ4)</f>
        <v>0</v>
      </c>
      <c r="AS4" s="37">
        <f>SUM(N4,H4,T4,Z4,AF4,AL4,AR4)</f>
        <v>0</v>
      </c>
      <c r="AT4" s="26">
        <f>COUNT(C4:G4,I4:M4,O4:S4,U4:Y4,AA4:AE4,AG4:AK4,AM4:AQ4)</f>
        <v>0</v>
      </c>
      <c r="AU4" s="243" t="str">
        <f>IF(AT4=0,"",AS4/AT4)</f>
        <v/>
      </c>
      <c r="AV4" s="27" t="s">
        <v>19</v>
      </c>
    </row>
    <row r="5" spans="1:49" s="27" customFormat="1" ht="15">
      <c r="A5" s="172" t="s">
        <v>39</v>
      </c>
      <c r="B5" s="143" t="s">
        <v>62</v>
      </c>
      <c r="C5" s="34"/>
      <c r="D5" s="34"/>
      <c r="E5" s="34"/>
      <c r="F5" s="34"/>
      <c r="G5" s="36"/>
      <c r="H5" s="223">
        <f>SUM(C5+D5+E5+F5+G5)</f>
        <v>0</v>
      </c>
      <c r="I5" s="239"/>
      <c r="J5" s="239"/>
      <c r="K5" s="239"/>
      <c r="L5" s="239"/>
      <c r="M5" s="239"/>
      <c r="N5" s="223">
        <f>SUM(I5:M5)</f>
        <v>0</v>
      </c>
      <c r="O5" s="240"/>
      <c r="P5" s="240"/>
      <c r="Q5" s="240"/>
      <c r="R5" s="240"/>
      <c r="S5" s="240"/>
      <c r="T5" s="223">
        <f>SUM(O5:S5)</f>
        <v>0</v>
      </c>
      <c r="U5" s="232"/>
      <c r="V5" s="232"/>
      <c r="W5" s="232"/>
      <c r="X5" s="232"/>
      <c r="Y5" s="232"/>
      <c r="Z5" s="223">
        <f>SUM(U5:Y5)</f>
        <v>0</v>
      </c>
      <c r="AA5" s="226"/>
      <c r="AB5" s="226"/>
      <c r="AC5" s="226"/>
      <c r="AD5" s="226"/>
      <c r="AE5" s="226"/>
      <c r="AF5" s="223">
        <f>SUM(AA5:AE5)</f>
        <v>0</v>
      </c>
      <c r="AG5" s="228"/>
      <c r="AH5" s="228"/>
      <c r="AI5" s="228"/>
      <c r="AJ5" s="228"/>
      <c r="AK5" s="228"/>
      <c r="AL5" s="223">
        <f>SUM(AG5:AK5)</f>
        <v>0</v>
      </c>
      <c r="AM5" s="228"/>
      <c r="AN5" s="228"/>
      <c r="AO5" s="228"/>
      <c r="AP5" s="228"/>
      <c r="AQ5" s="228"/>
      <c r="AR5" s="223">
        <f>SUM(AM5:AQ5)</f>
        <v>0</v>
      </c>
      <c r="AS5" s="37">
        <f>SUM(N5,H5,T5,Z5,AF5,AL5,AR5)</f>
        <v>0</v>
      </c>
      <c r="AT5" s="26">
        <f>COUNT(C5:G5,I5:M5,O5:S5,U5:Y5,AA5:AE5,AG5:AK5,AM5:AQ5)</f>
        <v>0</v>
      </c>
      <c r="AU5" s="243" t="str">
        <f>IF(AT5=0,"",AS5/AT5)</f>
        <v/>
      </c>
    </row>
    <row r="6" spans="1:49" s="27" customFormat="1" ht="15">
      <c r="A6" s="172" t="s">
        <v>39</v>
      </c>
      <c r="B6" s="143" t="s">
        <v>70</v>
      </c>
      <c r="C6" s="34"/>
      <c r="D6" s="34"/>
      <c r="E6" s="34"/>
      <c r="F6" s="34"/>
      <c r="G6" s="36"/>
      <c r="H6" s="223">
        <f>SUM(C6+D6+E6+F6+G6)</f>
        <v>0</v>
      </c>
      <c r="I6" s="239"/>
      <c r="J6" s="239"/>
      <c r="K6" s="239"/>
      <c r="L6" s="239"/>
      <c r="M6" s="239"/>
      <c r="N6" s="223">
        <f>SUM(I6:M6)</f>
        <v>0</v>
      </c>
      <c r="O6" s="240"/>
      <c r="P6" s="240"/>
      <c r="Q6" s="240"/>
      <c r="R6" s="240"/>
      <c r="S6" s="240"/>
      <c r="T6" s="223">
        <f>SUM(O6:S6)</f>
        <v>0</v>
      </c>
      <c r="U6" s="232"/>
      <c r="V6" s="232"/>
      <c r="W6" s="232"/>
      <c r="X6" s="232"/>
      <c r="Y6" s="232"/>
      <c r="Z6" s="223">
        <f>SUM(U6:Y6)</f>
        <v>0</v>
      </c>
      <c r="AA6" s="237"/>
      <c r="AB6" s="237"/>
      <c r="AC6" s="237"/>
      <c r="AD6" s="237"/>
      <c r="AE6" s="237"/>
      <c r="AF6" s="223">
        <f>SUM(AA6:AE6)</f>
        <v>0</v>
      </c>
      <c r="AG6" s="228"/>
      <c r="AH6" s="228"/>
      <c r="AI6" s="228"/>
      <c r="AJ6" s="228"/>
      <c r="AK6" s="228"/>
      <c r="AL6" s="223">
        <f>SUM(AG6:AK6)</f>
        <v>0</v>
      </c>
      <c r="AM6" s="228"/>
      <c r="AN6" s="228"/>
      <c r="AO6" s="228"/>
      <c r="AP6" s="228"/>
      <c r="AQ6" s="228"/>
      <c r="AR6" s="223">
        <f>SUM(AM6:AQ6)</f>
        <v>0</v>
      </c>
      <c r="AS6" s="37">
        <f>SUM(N6,H6,T6,Z6,AF6,AL6,AR6)</f>
        <v>0</v>
      </c>
      <c r="AT6" s="26">
        <f>COUNT(C6:G6,I6:M6,O6:S6,U6:Y6,AA6:AE6,AG6:AK6,AM6:AQ6)</f>
        <v>0</v>
      </c>
      <c r="AU6" s="243" t="str">
        <f>IF(AT6=0,"",AS6/AT6)</f>
        <v/>
      </c>
    </row>
    <row r="7" spans="1:49" s="27" customFormat="1" ht="15">
      <c r="A7" s="172"/>
      <c r="B7" s="143"/>
      <c r="C7" s="31"/>
      <c r="D7" s="30"/>
      <c r="E7" s="30"/>
      <c r="F7" s="30"/>
      <c r="G7" s="30"/>
      <c r="H7" s="223"/>
      <c r="I7" s="239"/>
      <c r="J7" s="239"/>
      <c r="K7" s="239"/>
      <c r="L7" s="239"/>
      <c r="M7" s="239"/>
      <c r="N7" s="238"/>
      <c r="O7" s="242"/>
      <c r="P7" s="242"/>
      <c r="Q7" s="242"/>
      <c r="R7" s="242"/>
      <c r="S7" s="242"/>
      <c r="T7" s="238"/>
      <c r="U7" s="232"/>
      <c r="V7" s="232"/>
      <c r="W7" s="232"/>
      <c r="X7" s="232"/>
      <c r="Y7" s="232"/>
      <c r="Z7" s="238"/>
      <c r="AA7" s="232"/>
      <c r="AB7" s="232"/>
      <c r="AC7" s="232"/>
      <c r="AD7" s="232"/>
      <c r="AE7" s="232"/>
      <c r="AF7" s="238"/>
      <c r="AG7" s="228"/>
      <c r="AH7" s="228"/>
      <c r="AI7" s="228"/>
      <c r="AJ7" s="228"/>
      <c r="AK7" s="228"/>
      <c r="AL7" s="238"/>
      <c r="AM7" s="228"/>
      <c r="AN7" s="228"/>
      <c r="AO7" s="228"/>
      <c r="AP7" s="228"/>
      <c r="AQ7" s="228"/>
      <c r="AR7" s="238"/>
      <c r="AS7" s="25"/>
      <c r="AT7" s="26"/>
      <c r="AU7" s="243"/>
    </row>
    <row r="8" spans="1:49" s="27" customFormat="1" ht="15.75" thickBot="1">
      <c r="A8" s="173"/>
      <c r="B8" s="174"/>
      <c r="C8" s="175"/>
      <c r="D8" s="175"/>
      <c r="E8" s="175"/>
      <c r="F8" s="175"/>
      <c r="G8" s="175"/>
      <c r="H8" s="176"/>
      <c r="I8" s="175"/>
      <c r="J8" s="175"/>
      <c r="K8" s="175"/>
      <c r="L8" s="175"/>
      <c r="M8" s="175"/>
      <c r="N8" s="177"/>
      <c r="O8" s="177"/>
      <c r="P8" s="177"/>
      <c r="Q8" s="177"/>
      <c r="R8" s="177"/>
      <c r="S8" s="177"/>
      <c r="T8" s="177"/>
      <c r="U8" s="178"/>
      <c r="V8" s="178"/>
      <c r="W8" s="178"/>
      <c r="X8" s="178"/>
      <c r="Y8" s="178"/>
      <c r="Z8" s="177"/>
      <c r="AA8" s="178"/>
      <c r="AB8" s="178"/>
      <c r="AC8" s="178"/>
      <c r="AD8" s="178"/>
      <c r="AE8" s="178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467">
        <f>SUM(AS2:AS7)</f>
        <v>0</v>
      </c>
      <c r="AT8" s="177">
        <f>SUM(AT2:AT7)</f>
        <v>0</v>
      </c>
      <c r="AU8" s="179" t="str">
        <f>IF(AT8=0,"",AS8/AT8)</f>
        <v/>
      </c>
      <c r="AW8" s="164"/>
    </row>
    <row r="9" spans="1:49" s="27" customFormat="1" ht="15.75" thickBot="1">
      <c r="A9" s="180"/>
      <c r="B9" s="181"/>
      <c r="C9" s="182"/>
      <c r="D9" s="182"/>
      <c r="E9" s="182"/>
      <c r="F9" s="182"/>
      <c r="G9" s="182"/>
      <c r="H9" s="183"/>
      <c r="I9" s="182"/>
      <c r="J9" s="182"/>
      <c r="K9" s="182"/>
      <c r="L9" s="182"/>
      <c r="M9" s="182"/>
      <c r="N9" s="183"/>
      <c r="O9" s="183"/>
      <c r="P9" s="183"/>
      <c r="Q9" s="183"/>
      <c r="R9" s="183"/>
      <c r="S9" s="183"/>
      <c r="T9" s="183"/>
      <c r="U9" s="184"/>
      <c r="V9" s="184"/>
      <c r="W9" s="184"/>
      <c r="X9" s="184"/>
      <c r="Y9" s="184"/>
      <c r="Z9" s="183"/>
      <c r="AA9" s="184"/>
      <c r="AB9" s="184"/>
      <c r="AC9" s="184"/>
      <c r="AD9" s="184"/>
      <c r="AE9" s="184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5"/>
    </row>
    <row r="10" spans="1:49" s="27" customFormat="1" ht="15">
      <c r="A10" s="186" t="s">
        <v>16</v>
      </c>
      <c r="B10" s="187" t="s">
        <v>1</v>
      </c>
      <c r="C10" s="719">
        <v>160</v>
      </c>
      <c r="D10" s="719">
        <v>186</v>
      </c>
      <c r="E10" s="719">
        <v>178</v>
      </c>
      <c r="F10" s="719">
        <v>138</v>
      </c>
      <c r="G10" s="719">
        <v>150</v>
      </c>
      <c r="H10" s="222">
        <f t="shared" ref="H10:H29" si="0">SUM(C10+D10+E10+F10+G10)</f>
        <v>812</v>
      </c>
      <c r="I10" s="318"/>
      <c r="J10" s="318"/>
      <c r="K10" s="318"/>
      <c r="L10" s="318"/>
      <c r="M10" s="318"/>
      <c r="N10" s="222">
        <f t="shared" ref="N10:N29" si="1">SUM(I10+J10+K10+L10+M10)</f>
        <v>0</v>
      </c>
      <c r="O10" s="334"/>
      <c r="P10" s="334"/>
      <c r="Q10" s="334"/>
      <c r="R10" s="334"/>
      <c r="S10" s="334"/>
      <c r="T10" s="222">
        <f t="shared" ref="T10:T29" si="2">SUM(O10+P10+Q10+R10+S10)</f>
        <v>0</v>
      </c>
      <c r="U10" s="345"/>
      <c r="V10" s="345"/>
      <c r="W10" s="345"/>
      <c r="X10" s="345"/>
      <c r="Y10" s="345"/>
      <c r="Z10" s="222">
        <f t="shared" ref="Z10:Z29" si="3">SUM(U10+V10+W10+X10+Y10)</f>
        <v>0</v>
      </c>
      <c r="AA10" s="362"/>
      <c r="AB10" s="362"/>
      <c r="AC10" s="362"/>
      <c r="AD10" s="362"/>
      <c r="AE10" s="362"/>
      <c r="AF10" s="222">
        <f t="shared" ref="AF10:AF29" si="4">SUM(AA10+AB10+AC10+AD10+AE10)</f>
        <v>0</v>
      </c>
      <c r="AG10" s="378"/>
      <c r="AH10" s="378"/>
      <c r="AI10" s="379"/>
      <c r="AJ10" s="379"/>
      <c r="AK10" s="379"/>
      <c r="AL10" s="222">
        <f t="shared" ref="AL10:AL29" si="5">SUM(AG10+AH10+AI10+AJ10+AK10)</f>
        <v>0</v>
      </c>
      <c r="AM10" s="405"/>
      <c r="AN10" s="405"/>
      <c r="AO10" s="405"/>
      <c r="AP10" s="405"/>
      <c r="AQ10" s="405"/>
      <c r="AR10" s="222">
        <f t="shared" ref="AR10:AR29" si="6">SUM(AM10+AN10+AO10+AP10+AQ10)</f>
        <v>0</v>
      </c>
      <c r="AS10" s="188">
        <f t="shared" ref="AS10:AS19" si="7">SUM(N10,H10,T10,Z10,AF10,AL10,AR10)</f>
        <v>812</v>
      </c>
      <c r="AT10" s="189">
        <f t="shared" ref="AT10:AT19" si="8">COUNT(C10:G10,I10:M10,O10:S10,U10:Y10,AA10:AE10,AG10:AK10,AM10:AQ10)</f>
        <v>5</v>
      </c>
      <c r="AU10" s="267">
        <f t="shared" ref="AU10:AU19" si="9">IF(AT10=0,"",AS10/AT10)</f>
        <v>162.4</v>
      </c>
    </row>
    <row r="11" spans="1:49" s="27" customFormat="1" ht="15">
      <c r="A11" s="190" t="s">
        <v>16</v>
      </c>
      <c r="B11" s="144" t="s">
        <v>11</v>
      </c>
      <c r="C11" s="31"/>
      <c r="D11" s="31"/>
      <c r="E11" s="31"/>
      <c r="F11" s="31"/>
      <c r="G11" s="31"/>
      <c r="H11" s="223">
        <f t="shared" si="0"/>
        <v>0</v>
      </c>
      <c r="I11" s="224"/>
      <c r="J11" s="224"/>
      <c r="K11" s="224"/>
      <c r="L11" s="224"/>
      <c r="M11" s="224"/>
      <c r="N11" s="223">
        <f t="shared" si="1"/>
        <v>0</v>
      </c>
      <c r="O11" s="224"/>
      <c r="P11" s="224"/>
      <c r="Q11" s="224"/>
      <c r="R11" s="224"/>
      <c r="S11" s="224"/>
      <c r="T11" s="223">
        <f t="shared" si="2"/>
        <v>0</v>
      </c>
      <c r="U11" s="224"/>
      <c r="V11" s="231"/>
      <c r="W11" s="231"/>
      <c r="X11" s="231"/>
      <c r="Y11" s="231"/>
      <c r="Z11" s="223">
        <f t="shared" si="3"/>
        <v>0</v>
      </c>
      <c r="AA11" s="232"/>
      <c r="AB11" s="232"/>
      <c r="AC11" s="232"/>
      <c r="AD11" s="232"/>
      <c r="AE11" s="232"/>
      <c r="AF11" s="223">
        <f t="shared" si="4"/>
        <v>0</v>
      </c>
      <c r="AG11" s="228"/>
      <c r="AH11" s="228"/>
      <c r="AI11" s="228"/>
      <c r="AJ11" s="228"/>
      <c r="AK11" s="228"/>
      <c r="AL11" s="223">
        <f t="shared" si="5"/>
        <v>0</v>
      </c>
      <c r="AM11" s="228"/>
      <c r="AN11" s="228"/>
      <c r="AO11" s="228"/>
      <c r="AP11" s="228"/>
      <c r="AQ11" s="228"/>
      <c r="AR11" s="223">
        <f t="shared" si="6"/>
        <v>0</v>
      </c>
      <c r="AS11" s="25">
        <f t="shared" si="7"/>
        <v>0</v>
      </c>
      <c r="AT11" s="26">
        <f t="shared" si="8"/>
        <v>0</v>
      </c>
      <c r="AU11" s="266" t="str">
        <f t="shared" si="9"/>
        <v/>
      </c>
    </row>
    <row r="12" spans="1:49" s="27" customFormat="1" ht="15">
      <c r="A12" s="190" t="s">
        <v>16</v>
      </c>
      <c r="B12" s="144" t="s">
        <v>15</v>
      </c>
      <c r="C12" s="719">
        <v>114</v>
      </c>
      <c r="D12" s="719">
        <v>111</v>
      </c>
      <c r="E12" s="719">
        <v>130</v>
      </c>
      <c r="F12" s="719">
        <v>138</v>
      </c>
      <c r="G12" s="719">
        <v>113</v>
      </c>
      <c r="H12" s="223">
        <f t="shared" si="0"/>
        <v>606</v>
      </c>
      <c r="I12" s="318"/>
      <c r="J12" s="318"/>
      <c r="K12" s="318"/>
      <c r="L12" s="318"/>
      <c r="M12" s="318"/>
      <c r="N12" s="223">
        <f t="shared" si="1"/>
        <v>0</v>
      </c>
      <c r="O12" s="334"/>
      <c r="P12" s="334"/>
      <c r="Q12" s="334"/>
      <c r="R12" s="334"/>
      <c r="S12" s="334"/>
      <c r="T12" s="223">
        <f t="shared" si="2"/>
        <v>0</v>
      </c>
      <c r="U12" s="345"/>
      <c r="V12" s="345"/>
      <c r="W12" s="345"/>
      <c r="X12" s="345"/>
      <c r="Y12" s="345"/>
      <c r="Z12" s="223">
        <f t="shared" si="3"/>
        <v>0</v>
      </c>
      <c r="AA12" s="362"/>
      <c r="AB12" s="362"/>
      <c r="AC12" s="362"/>
      <c r="AD12" s="362"/>
      <c r="AE12" s="362"/>
      <c r="AF12" s="223">
        <f t="shared" si="4"/>
        <v>0</v>
      </c>
      <c r="AG12" s="378"/>
      <c r="AH12" s="378"/>
      <c r="AI12" s="379"/>
      <c r="AJ12" s="379"/>
      <c r="AK12" s="379"/>
      <c r="AL12" s="223">
        <f t="shared" si="5"/>
        <v>0</v>
      </c>
      <c r="AM12" s="405"/>
      <c r="AN12" s="405"/>
      <c r="AO12" s="405"/>
      <c r="AP12" s="405"/>
      <c r="AQ12" s="405"/>
      <c r="AR12" s="223">
        <f t="shared" si="6"/>
        <v>0</v>
      </c>
      <c r="AS12" s="25">
        <f t="shared" si="7"/>
        <v>606</v>
      </c>
      <c r="AT12" s="26">
        <f t="shared" si="8"/>
        <v>5</v>
      </c>
      <c r="AU12" s="266">
        <f t="shared" si="9"/>
        <v>121.2</v>
      </c>
    </row>
    <row r="13" spans="1:49" s="27" customFormat="1" ht="15">
      <c r="A13" s="190" t="s">
        <v>16</v>
      </c>
      <c r="B13" s="144" t="s">
        <v>20</v>
      </c>
      <c r="C13" s="719">
        <v>159</v>
      </c>
      <c r="D13" s="719">
        <v>113</v>
      </c>
      <c r="E13" s="719">
        <v>132</v>
      </c>
      <c r="F13" s="719">
        <v>147</v>
      </c>
      <c r="G13" s="719">
        <v>116</v>
      </c>
      <c r="H13" s="223">
        <f t="shared" si="0"/>
        <v>667</v>
      </c>
      <c r="I13" s="318"/>
      <c r="J13" s="318"/>
      <c r="K13" s="318"/>
      <c r="L13" s="318"/>
      <c r="M13" s="318"/>
      <c r="N13" s="223">
        <f t="shared" si="1"/>
        <v>0</v>
      </c>
      <c r="O13" s="225"/>
      <c r="P13" s="225"/>
      <c r="Q13" s="225"/>
      <c r="R13" s="225"/>
      <c r="S13" s="225"/>
      <c r="T13" s="223">
        <f t="shared" si="2"/>
        <v>0</v>
      </c>
      <c r="U13" s="345"/>
      <c r="V13" s="345"/>
      <c r="W13" s="345"/>
      <c r="X13" s="345"/>
      <c r="Y13" s="345"/>
      <c r="Z13" s="223">
        <f t="shared" si="3"/>
        <v>0</v>
      </c>
      <c r="AA13" s="362"/>
      <c r="AB13" s="362"/>
      <c r="AC13" s="362"/>
      <c r="AD13" s="362"/>
      <c r="AE13" s="362"/>
      <c r="AF13" s="223">
        <f t="shared" si="4"/>
        <v>0</v>
      </c>
      <c r="AG13" s="378"/>
      <c r="AH13" s="378"/>
      <c r="AI13" s="379"/>
      <c r="AJ13" s="379"/>
      <c r="AK13" s="379"/>
      <c r="AL13" s="223">
        <f t="shared" si="5"/>
        <v>0</v>
      </c>
      <c r="AM13" s="405"/>
      <c r="AN13" s="405"/>
      <c r="AO13" s="405"/>
      <c r="AP13" s="405"/>
      <c r="AQ13" s="405"/>
      <c r="AR13" s="223">
        <f t="shared" si="6"/>
        <v>0</v>
      </c>
      <c r="AS13" s="25">
        <f t="shared" si="7"/>
        <v>667</v>
      </c>
      <c r="AT13" s="26">
        <f t="shared" si="8"/>
        <v>5</v>
      </c>
      <c r="AU13" s="266">
        <f t="shared" si="9"/>
        <v>133.4</v>
      </c>
    </row>
    <row r="14" spans="1:49" s="27" customFormat="1" ht="15">
      <c r="A14" s="190" t="s">
        <v>16</v>
      </c>
      <c r="B14" s="144" t="s">
        <v>32</v>
      </c>
      <c r="C14" s="31"/>
      <c r="D14" s="31"/>
      <c r="E14" s="31"/>
      <c r="F14" s="31"/>
      <c r="G14" s="31"/>
      <c r="H14" s="223">
        <f t="shared" si="0"/>
        <v>0</v>
      </c>
      <c r="I14" s="224"/>
      <c r="J14" s="224"/>
      <c r="K14" s="224"/>
      <c r="L14" s="224"/>
      <c r="M14" s="224"/>
      <c r="N14" s="223">
        <f t="shared" si="1"/>
        <v>0</v>
      </c>
      <c r="O14" s="224"/>
      <c r="P14" s="224"/>
      <c r="Q14" s="224"/>
      <c r="R14" s="224"/>
      <c r="S14" s="224"/>
      <c r="T14" s="223">
        <f t="shared" si="2"/>
        <v>0</v>
      </c>
      <c r="U14" s="224"/>
      <c r="V14" s="224"/>
      <c r="W14" s="224"/>
      <c r="X14" s="224"/>
      <c r="Y14" s="224"/>
      <c r="Z14" s="223">
        <f t="shared" si="3"/>
        <v>0</v>
      </c>
      <c r="AA14" s="230"/>
      <c r="AB14" s="230"/>
      <c r="AC14" s="230"/>
      <c r="AD14" s="230"/>
      <c r="AE14" s="230"/>
      <c r="AF14" s="223">
        <f t="shared" si="4"/>
        <v>0</v>
      </c>
      <c r="AG14" s="228"/>
      <c r="AH14" s="228"/>
      <c r="AI14" s="228"/>
      <c r="AJ14" s="228"/>
      <c r="AK14" s="228"/>
      <c r="AL14" s="223">
        <f t="shared" si="5"/>
        <v>0</v>
      </c>
      <c r="AM14" s="228"/>
      <c r="AN14" s="228"/>
      <c r="AO14" s="228"/>
      <c r="AP14" s="228"/>
      <c r="AQ14" s="228"/>
      <c r="AR14" s="223">
        <f t="shared" si="6"/>
        <v>0</v>
      </c>
      <c r="AS14" s="25">
        <f t="shared" si="7"/>
        <v>0</v>
      </c>
      <c r="AT14" s="26">
        <f t="shared" si="8"/>
        <v>0</v>
      </c>
      <c r="AU14" s="266" t="str">
        <f t="shared" si="9"/>
        <v/>
      </c>
    </row>
    <row r="15" spans="1:49" s="27" customFormat="1" ht="15">
      <c r="A15" s="190" t="s">
        <v>16</v>
      </c>
      <c r="B15" s="144" t="s">
        <v>31</v>
      </c>
      <c r="C15" s="719">
        <v>130</v>
      </c>
      <c r="D15" s="719">
        <v>132</v>
      </c>
      <c r="E15" s="719">
        <v>160</v>
      </c>
      <c r="F15" s="719">
        <v>128</v>
      </c>
      <c r="G15" s="719">
        <v>129</v>
      </c>
      <c r="H15" s="223">
        <f t="shared" si="0"/>
        <v>679</v>
      </c>
      <c r="I15" s="318"/>
      <c r="J15" s="318"/>
      <c r="K15" s="318"/>
      <c r="L15" s="318"/>
      <c r="M15" s="318"/>
      <c r="N15" s="223">
        <f t="shared" si="1"/>
        <v>0</v>
      </c>
      <c r="O15" s="334"/>
      <c r="P15" s="334"/>
      <c r="Q15" s="334"/>
      <c r="R15" s="334"/>
      <c r="S15" s="334"/>
      <c r="T15" s="223">
        <f t="shared" si="2"/>
        <v>0</v>
      </c>
      <c r="U15" s="345"/>
      <c r="V15" s="345"/>
      <c r="W15" s="345"/>
      <c r="X15" s="345"/>
      <c r="Y15" s="345"/>
      <c r="Z15" s="223">
        <f t="shared" si="3"/>
        <v>0</v>
      </c>
      <c r="AA15" s="362"/>
      <c r="AB15" s="362"/>
      <c r="AC15" s="362"/>
      <c r="AD15" s="362"/>
      <c r="AE15" s="362"/>
      <c r="AF15" s="223">
        <f t="shared" si="4"/>
        <v>0</v>
      </c>
      <c r="AG15" s="378"/>
      <c r="AH15" s="378"/>
      <c r="AI15" s="379"/>
      <c r="AJ15" s="379"/>
      <c r="AK15" s="379"/>
      <c r="AL15" s="223">
        <f t="shared" si="5"/>
        <v>0</v>
      </c>
      <c r="AM15" s="401"/>
      <c r="AN15" s="401"/>
      <c r="AO15" s="401"/>
      <c r="AP15" s="401"/>
      <c r="AQ15" s="401"/>
      <c r="AR15" s="223">
        <f t="shared" si="6"/>
        <v>0</v>
      </c>
      <c r="AS15" s="25">
        <f t="shared" si="7"/>
        <v>679</v>
      </c>
      <c r="AT15" s="26">
        <f t="shared" si="8"/>
        <v>5</v>
      </c>
      <c r="AU15" s="266">
        <f t="shared" si="9"/>
        <v>135.80000000000001</v>
      </c>
    </row>
    <row r="16" spans="1:49" s="27" customFormat="1" ht="15">
      <c r="A16" s="190" t="s">
        <v>16</v>
      </c>
      <c r="B16" s="144" t="s">
        <v>68</v>
      </c>
      <c r="C16" s="43"/>
      <c r="D16" s="43"/>
      <c r="E16" s="43"/>
      <c r="F16" s="43"/>
      <c r="G16" s="43"/>
      <c r="H16" s="223">
        <f t="shared" si="0"/>
        <v>0</v>
      </c>
      <c r="I16" s="227"/>
      <c r="J16" s="227"/>
      <c r="K16" s="227"/>
      <c r="L16" s="227"/>
      <c r="M16" s="227"/>
      <c r="N16" s="223">
        <f t="shared" si="1"/>
        <v>0</v>
      </c>
      <c r="O16" s="225"/>
      <c r="P16" s="225"/>
      <c r="Q16" s="225"/>
      <c r="R16" s="225"/>
      <c r="S16" s="225"/>
      <c r="T16" s="223">
        <f t="shared" si="2"/>
        <v>0</v>
      </c>
      <c r="U16" s="224"/>
      <c r="V16" s="224"/>
      <c r="W16" s="224"/>
      <c r="X16" s="224"/>
      <c r="Y16" s="224"/>
      <c r="Z16" s="223">
        <f t="shared" si="3"/>
        <v>0</v>
      </c>
      <c r="AA16" s="224"/>
      <c r="AB16" s="224"/>
      <c r="AC16" s="224"/>
      <c r="AD16" s="224"/>
      <c r="AE16" s="224"/>
      <c r="AF16" s="223">
        <f t="shared" si="4"/>
        <v>0</v>
      </c>
      <c r="AG16" s="227"/>
      <c r="AH16" s="227"/>
      <c r="AI16" s="227"/>
      <c r="AJ16" s="227"/>
      <c r="AK16" s="227"/>
      <c r="AL16" s="223">
        <f t="shared" si="5"/>
        <v>0</v>
      </c>
      <c r="AM16" s="228"/>
      <c r="AN16" s="228"/>
      <c r="AO16" s="228"/>
      <c r="AP16" s="228"/>
      <c r="AQ16" s="228"/>
      <c r="AR16" s="223">
        <f t="shared" si="6"/>
        <v>0</v>
      </c>
      <c r="AS16" s="25">
        <f t="shared" si="7"/>
        <v>0</v>
      </c>
      <c r="AT16" s="26">
        <f t="shared" si="8"/>
        <v>0</v>
      </c>
      <c r="AU16" s="266" t="str">
        <f t="shared" si="9"/>
        <v/>
      </c>
    </row>
    <row r="17" spans="1:47" s="27" customFormat="1" ht="15">
      <c r="A17" s="190" t="s">
        <v>16</v>
      </c>
      <c r="B17" s="144" t="s">
        <v>14</v>
      </c>
      <c r="C17" s="719">
        <v>141</v>
      </c>
      <c r="D17" s="719">
        <v>110</v>
      </c>
      <c r="E17" s="719">
        <v>168</v>
      </c>
      <c r="F17" s="719">
        <v>132</v>
      </c>
      <c r="G17" s="719">
        <v>143</v>
      </c>
      <c r="H17" s="223">
        <f t="shared" si="0"/>
        <v>694</v>
      </c>
      <c r="I17" s="227"/>
      <c r="J17" s="227"/>
      <c r="K17" s="227"/>
      <c r="L17" s="227"/>
      <c r="M17" s="227"/>
      <c r="N17" s="223">
        <f t="shared" si="1"/>
        <v>0</v>
      </c>
      <c r="O17" s="334"/>
      <c r="P17" s="334"/>
      <c r="Q17" s="334"/>
      <c r="R17" s="334"/>
      <c r="S17" s="334"/>
      <c r="T17" s="223">
        <f t="shared" si="2"/>
        <v>0</v>
      </c>
      <c r="U17" s="345"/>
      <c r="V17" s="345"/>
      <c r="W17" s="345"/>
      <c r="X17" s="345"/>
      <c r="Y17" s="345"/>
      <c r="Z17" s="223">
        <f t="shared" si="3"/>
        <v>0</v>
      </c>
      <c r="AA17" s="362"/>
      <c r="AB17" s="362"/>
      <c r="AC17" s="362"/>
      <c r="AD17" s="362"/>
      <c r="AE17" s="362"/>
      <c r="AF17" s="223">
        <f t="shared" si="4"/>
        <v>0</v>
      </c>
      <c r="AG17" s="378"/>
      <c r="AH17" s="378"/>
      <c r="AI17" s="379"/>
      <c r="AJ17" s="379"/>
      <c r="AK17" s="379"/>
      <c r="AL17" s="223">
        <f t="shared" si="5"/>
        <v>0</v>
      </c>
      <c r="AM17" s="405"/>
      <c r="AN17" s="405"/>
      <c r="AO17" s="405"/>
      <c r="AP17" s="405"/>
      <c r="AQ17" s="405"/>
      <c r="AR17" s="223">
        <f t="shared" si="6"/>
        <v>0</v>
      </c>
      <c r="AS17" s="25">
        <f t="shared" si="7"/>
        <v>694</v>
      </c>
      <c r="AT17" s="26">
        <f t="shared" si="8"/>
        <v>5</v>
      </c>
      <c r="AU17" s="266">
        <f t="shared" si="9"/>
        <v>138.80000000000001</v>
      </c>
    </row>
    <row r="18" spans="1:47" s="27" customFormat="1" ht="15">
      <c r="A18" s="190" t="s">
        <v>16</v>
      </c>
      <c r="B18" s="145" t="s">
        <v>40</v>
      </c>
      <c r="C18" s="43"/>
      <c r="D18" s="43"/>
      <c r="E18" s="43"/>
      <c r="F18" s="43"/>
      <c r="G18" s="43"/>
      <c r="H18" s="223">
        <f t="shared" si="0"/>
        <v>0</v>
      </c>
      <c r="I18" s="232"/>
      <c r="J18" s="232"/>
      <c r="K18" s="232"/>
      <c r="L18" s="232"/>
      <c r="M18" s="232"/>
      <c r="N18" s="223">
        <f t="shared" si="1"/>
        <v>0</v>
      </c>
      <c r="O18" s="232"/>
      <c r="P18" s="232"/>
      <c r="Q18" s="232"/>
      <c r="R18" s="232"/>
      <c r="S18" s="232"/>
      <c r="T18" s="223">
        <f t="shared" si="2"/>
        <v>0</v>
      </c>
      <c r="U18" s="224"/>
      <c r="V18" s="224"/>
      <c r="W18" s="224"/>
      <c r="X18" s="224"/>
      <c r="Y18" s="224"/>
      <c r="Z18" s="223">
        <f t="shared" si="3"/>
        <v>0</v>
      </c>
      <c r="AA18" s="224"/>
      <c r="AB18" s="224"/>
      <c r="AC18" s="224"/>
      <c r="AD18" s="224"/>
      <c r="AE18" s="224"/>
      <c r="AF18" s="223">
        <f t="shared" si="4"/>
        <v>0</v>
      </c>
      <c r="AG18" s="228"/>
      <c r="AH18" s="228"/>
      <c r="AI18" s="228"/>
      <c r="AJ18" s="228"/>
      <c r="AK18" s="228"/>
      <c r="AL18" s="223">
        <f t="shared" si="5"/>
        <v>0</v>
      </c>
      <c r="AM18" s="228"/>
      <c r="AN18" s="228"/>
      <c r="AO18" s="228"/>
      <c r="AP18" s="228"/>
      <c r="AQ18" s="228"/>
      <c r="AR18" s="223">
        <f t="shared" si="6"/>
        <v>0</v>
      </c>
      <c r="AS18" s="25">
        <f t="shared" si="7"/>
        <v>0</v>
      </c>
      <c r="AT18" s="26">
        <f t="shared" si="8"/>
        <v>0</v>
      </c>
      <c r="AU18" s="266" t="str">
        <f t="shared" si="9"/>
        <v/>
      </c>
    </row>
    <row r="19" spans="1:47" s="27" customFormat="1" ht="15">
      <c r="A19" s="190" t="s">
        <v>16</v>
      </c>
      <c r="B19" s="145" t="s">
        <v>58</v>
      </c>
      <c r="C19" s="719">
        <v>151</v>
      </c>
      <c r="D19" s="719">
        <v>159</v>
      </c>
      <c r="E19" s="719">
        <v>139</v>
      </c>
      <c r="F19" s="719">
        <v>157</v>
      </c>
      <c r="G19" s="719">
        <v>223</v>
      </c>
      <c r="H19" s="223">
        <f t="shared" si="0"/>
        <v>829</v>
      </c>
      <c r="I19" s="318"/>
      <c r="J19" s="318"/>
      <c r="K19" s="318"/>
      <c r="L19" s="318"/>
      <c r="M19" s="318"/>
      <c r="N19" s="223">
        <f t="shared" si="1"/>
        <v>0</v>
      </c>
      <c r="O19" s="334"/>
      <c r="P19" s="334"/>
      <c r="Q19" s="334"/>
      <c r="R19" s="334"/>
      <c r="S19" s="334"/>
      <c r="T19" s="223">
        <f t="shared" si="2"/>
        <v>0</v>
      </c>
      <c r="U19" s="224"/>
      <c r="V19" s="224"/>
      <c r="W19" s="224"/>
      <c r="X19" s="224"/>
      <c r="Y19" s="224"/>
      <c r="Z19" s="223">
        <f t="shared" si="3"/>
        <v>0</v>
      </c>
      <c r="AA19" s="362"/>
      <c r="AB19" s="362"/>
      <c r="AC19" s="362"/>
      <c r="AD19" s="362"/>
      <c r="AE19" s="362"/>
      <c r="AF19" s="223">
        <f t="shared" si="4"/>
        <v>0</v>
      </c>
      <c r="AG19" s="378"/>
      <c r="AH19" s="378"/>
      <c r="AI19" s="379"/>
      <c r="AJ19" s="379"/>
      <c r="AK19" s="379"/>
      <c r="AL19" s="223">
        <f t="shared" si="5"/>
        <v>0</v>
      </c>
      <c r="AM19" s="405"/>
      <c r="AN19" s="405"/>
      <c r="AO19" s="405"/>
      <c r="AP19" s="405"/>
      <c r="AQ19" s="405"/>
      <c r="AR19" s="223">
        <f t="shared" si="6"/>
        <v>0</v>
      </c>
      <c r="AS19" s="25">
        <f t="shared" si="7"/>
        <v>829</v>
      </c>
      <c r="AT19" s="26">
        <f t="shared" si="8"/>
        <v>5</v>
      </c>
      <c r="AU19" s="266">
        <f t="shared" si="9"/>
        <v>165.8</v>
      </c>
    </row>
    <row r="20" spans="1:47" s="27" customFormat="1" ht="15">
      <c r="A20" s="190" t="s">
        <v>16</v>
      </c>
      <c r="B20" s="145" t="s">
        <v>72</v>
      </c>
      <c r="C20" s="719">
        <v>141</v>
      </c>
      <c r="D20" s="719">
        <v>135</v>
      </c>
      <c r="E20" s="719">
        <v>122</v>
      </c>
      <c r="F20" s="719">
        <v>103</v>
      </c>
      <c r="G20" s="719">
        <v>105</v>
      </c>
      <c r="H20" s="223">
        <f t="shared" si="0"/>
        <v>606</v>
      </c>
      <c r="I20" s="318"/>
      <c r="J20" s="318"/>
      <c r="K20" s="318"/>
      <c r="L20" s="318"/>
      <c r="M20" s="318"/>
      <c r="N20" s="223">
        <f t="shared" si="1"/>
        <v>0</v>
      </c>
      <c r="O20" s="334"/>
      <c r="P20" s="334"/>
      <c r="Q20" s="334"/>
      <c r="R20" s="334"/>
      <c r="S20" s="334"/>
      <c r="T20" s="223">
        <f t="shared" si="2"/>
        <v>0</v>
      </c>
      <c r="U20" s="224"/>
      <c r="V20" s="224"/>
      <c r="W20" s="224"/>
      <c r="X20" s="224"/>
      <c r="Y20" s="224"/>
      <c r="Z20" s="223">
        <f t="shared" si="3"/>
        <v>0</v>
      </c>
      <c r="AA20" s="261"/>
      <c r="AB20" s="261"/>
      <c r="AC20" s="261"/>
      <c r="AD20" s="261"/>
      <c r="AE20" s="261"/>
      <c r="AF20" s="223">
        <f t="shared" si="4"/>
        <v>0</v>
      </c>
      <c r="AG20" s="227"/>
      <c r="AH20" s="227"/>
      <c r="AI20" s="227"/>
      <c r="AJ20" s="227"/>
      <c r="AK20" s="227"/>
      <c r="AL20" s="223">
        <f t="shared" si="5"/>
        <v>0</v>
      </c>
      <c r="AM20" s="405"/>
      <c r="AN20" s="405"/>
      <c r="AO20" s="405"/>
      <c r="AP20" s="405"/>
      <c r="AQ20" s="405"/>
      <c r="AR20" s="223">
        <f t="shared" si="6"/>
        <v>0</v>
      </c>
      <c r="AS20" s="25">
        <f t="shared" ref="AS20:AS25" si="10">SUM(N20,H20,T20,Z20,AF20,AL20,AR20)</f>
        <v>606</v>
      </c>
      <c r="AT20" s="26">
        <f t="shared" ref="AT20:AT25" si="11">COUNT(C20:G20,I20:M20,O20:S20,U20:Y20,AA20:AE20,AG20:AK20,AM20:AQ20)</f>
        <v>5</v>
      </c>
      <c r="AU20" s="266">
        <f t="shared" ref="AU20:AU25" si="12">IF(AT20=0,"",AS20/AT20)</f>
        <v>121.2</v>
      </c>
    </row>
    <row r="21" spans="1:47" s="27" customFormat="1" ht="15">
      <c r="A21" s="190" t="s">
        <v>16</v>
      </c>
      <c r="B21" s="145" t="s">
        <v>110</v>
      </c>
      <c r="C21" s="34"/>
      <c r="D21" s="34"/>
      <c r="E21" s="34"/>
      <c r="F21" s="34"/>
      <c r="G21" s="46"/>
      <c r="H21" s="223">
        <f t="shared" si="0"/>
        <v>0</v>
      </c>
      <c r="I21" s="224"/>
      <c r="J21" s="224"/>
      <c r="K21" s="224"/>
      <c r="L21" s="224"/>
      <c r="M21" s="224"/>
      <c r="N21" s="223">
        <f t="shared" si="1"/>
        <v>0</v>
      </c>
      <c r="O21" s="240"/>
      <c r="P21" s="240"/>
      <c r="Q21" s="240"/>
      <c r="R21" s="240"/>
      <c r="S21" s="240"/>
      <c r="T21" s="223">
        <f t="shared" si="2"/>
        <v>0</v>
      </c>
      <c r="U21" s="224"/>
      <c r="V21" s="232"/>
      <c r="W21" s="232"/>
      <c r="X21" s="232"/>
      <c r="Y21" s="232"/>
      <c r="Z21" s="223">
        <f t="shared" si="3"/>
        <v>0</v>
      </c>
      <c r="AA21" s="232"/>
      <c r="AB21" s="232"/>
      <c r="AC21" s="232"/>
      <c r="AD21" s="232"/>
      <c r="AE21" s="232"/>
      <c r="AF21" s="223">
        <f t="shared" si="4"/>
        <v>0</v>
      </c>
      <c r="AG21" s="228"/>
      <c r="AH21" s="228"/>
      <c r="AI21" s="228"/>
      <c r="AJ21" s="228"/>
      <c r="AK21" s="228"/>
      <c r="AL21" s="223">
        <f t="shared" si="5"/>
        <v>0</v>
      </c>
      <c r="AM21" s="228"/>
      <c r="AN21" s="228"/>
      <c r="AO21" s="228"/>
      <c r="AP21" s="228"/>
      <c r="AQ21" s="228"/>
      <c r="AR21" s="223">
        <f t="shared" si="6"/>
        <v>0</v>
      </c>
      <c r="AS21" s="25">
        <f t="shared" si="10"/>
        <v>0</v>
      </c>
      <c r="AT21" s="26">
        <f t="shared" si="11"/>
        <v>0</v>
      </c>
      <c r="AU21" s="266" t="str">
        <f t="shared" si="12"/>
        <v/>
      </c>
    </row>
    <row r="22" spans="1:47" s="27" customFormat="1" ht="15">
      <c r="A22" s="190" t="s">
        <v>16</v>
      </c>
      <c r="B22" s="145" t="s">
        <v>73</v>
      </c>
      <c r="C22" s="34"/>
      <c r="D22" s="34"/>
      <c r="E22" s="34"/>
      <c r="F22" s="34"/>
      <c r="G22" s="46"/>
      <c r="H22" s="223">
        <f t="shared" si="0"/>
        <v>0</v>
      </c>
      <c r="I22" s="224"/>
      <c r="J22" s="224"/>
      <c r="K22" s="224"/>
      <c r="L22" s="224"/>
      <c r="M22" s="224"/>
      <c r="N22" s="223">
        <f t="shared" si="1"/>
        <v>0</v>
      </c>
      <c r="O22" s="241"/>
      <c r="P22" s="241"/>
      <c r="Q22" s="241"/>
      <c r="R22" s="241"/>
      <c r="S22" s="241"/>
      <c r="T22" s="223">
        <f t="shared" si="2"/>
        <v>0</v>
      </c>
      <c r="U22" s="232"/>
      <c r="V22" s="232"/>
      <c r="W22" s="232"/>
      <c r="X22" s="232"/>
      <c r="Y22" s="232"/>
      <c r="Z22" s="223">
        <f t="shared" si="3"/>
        <v>0</v>
      </c>
      <c r="AA22" s="232"/>
      <c r="AB22" s="232"/>
      <c r="AC22" s="232"/>
      <c r="AD22" s="232"/>
      <c r="AE22" s="232"/>
      <c r="AF22" s="223">
        <f t="shared" si="4"/>
        <v>0</v>
      </c>
      <c r="AG22" s="228"/>
      <c r="AH22" s="228"/>
      <c r="AI22" s="228"/>
      <c r="AJ22" s="228"/>
      <c r="AK22" s="228"/>
      <c r="AL22" s="223">
        <f t="shared" si="5"/>
        <v>0</v>
      </c>
      <c r="AM22" s="228"/>
      <c r="AN22" s="228"/>
      <c r="AO22" s="228"/>
      <c r="AP22" s="228"/>
      <c r="AQ22" s="228"/>
      <c r="AR22" s="223">
        <f t="shared" si="6"/>
        <v>0</v>
      </c>
      <c r="AS22" s="25">
        <f t="shared" si="10"/>
        <v>0</v>
      </c>
      <c r="AT22" s="26">
        <f t="shared" si="11"/>
        <v>0</v>
      </c>
      <c r="AU22" s="266" t="str">
        <f t="shared" si="12"/>
        <v/>
      </c>
    </row>
    <row r="23" spans="1:47" s="27" customFormat="1" ht="15">
      <c r="A23" s="190" t="s">
        <v>16</v>
      </c>
      <c r="B23" s="145" t="s">
        <v>169</v>
      </c>
      <c r="C23" s="292"/>
      <c r="D23" s="292"/>
      <c r="E23" s="292"/>
      <c r="F23" s="292"/>
      <c r="G23" s="292"/>
      <c r="H23" s="223">
        <f t="shared" si="0"/>
        <v>0</v>
      </c>
      <c r="I23" s="224"/>
      <c r="J23" s="224"/>
      <c r="K23" s="224"/>
      <c r="L23" s="224"/>
      <c r="M23" s="224"/>
      <c r="N23" s="223">
        <f t="shared" si="1"/>
        <v>0</v>
      </c>
      <c r="O23" s="241"/>
      <c r="P23" s="241"/>
      <c r="Q23" s="241"/>
      <c r="R23" s="241"/>
      <c r="S23" s="241"/>
      <c r="T23" s="223">
        <f t="shared" si="2"/>
        <v>0</v>
      </c>
      <c r="U23" s="345"/>
      <c r="V23" s="345"/>
      <c r="W23" s="345"/>
      <c r="X23" s="345"/>
      <c r="Y23" s="345"/>
      <c r="Z23" s="223">
        <f t="shared" si="3"/>
        <v>0</v>
      </c>
      <c r="AA23" s="232"/>
      <c r="AB23" s="232"/>
      <c r="AC23" s="232"/>
      <c r="AD23" s="232"/>
      <c r="AE23" s="232"/>
      <c r="AF23" s="223">
        <f t="shared" si="4"/>
        <v>0</v>
      </c>
      <c r="AG23" s="228"/>
      <c r="AH23" s="228"/>
      <c r="AI23" s="228"/>
      <c r="AJ23" s="228"/>
      <c r="AK23" s="228"/>
      <c r="AL23" s="223">
        <f t="shared" si="5"/>
        <v>0</v>
      </c>
      <c r="AM23" s="228"/>
      <c r="AN23" s="228"/>
      <c r="AO23" s="228"/>
      <c r="AP23" s="228"/>
      <c r="AQ23" s="228"/>
      <c r="AR23" s="223">
        <f t="shared" si="6"/>
        <v>0</v>
      </c>
      <c r="AS23" s="25">
        <f t="shared" si="10"/>
        <v>0</v>
      </c>
      <c r="AT23" s="26">
        <f t="shared" si="11"/>
        <v>0</v>
      </c>
      <c r="AU23" s="266" t="str">
        <f t="shared" si="12"/>
        <v/>
      </c>
    </row>
    <row r="24" spans="1:47" s="27" customFormat="1" ht="15">
      <c r="A24" s="190" t="s">
        <v>16</v>
      </c>
      <c r="B24" s="145" t="s">
        <v>140</v>
      </c>
      <c r="C24" s="719">
        <v>166</v>
      </c>
      <c r="D24" s="719">
        <v>185</v>
      </c>
      <c r="E24" s="719">
        <v>140</v>
      </c>
      <c r="F24" s="719">
        <v>145</v>
      </c>
      <c r="G24" s="719">
        <v>115</v>
      </c>
      <c r="H24" s="223">
        <f t="shared" si="0"/>
        <v>751</v>
      </c>
      <c r="I24" s="224"/>
      <c r="J24" s="224"/>
      <c r="K24" s="224"/>
      <c r="L24" s="224"/>
      <c r="M24" s="224"/>
      <c r="N24" s="223">
        <f t="shared" si="1"/>
        <v>0</v>
      </c>
      <c r="O24" s="334"/>
      <c r="P24" s="334"/>
      <c r="Q24" s="334"/>
      <c r="R24" s="334"/>
      <c r="S24" s="334"/>
      <c r="T24" s="223">
        <f t="shared" si="2"/>
        <v>0</v>
      </c>
      <c r="U24" s="345"/>
      <c r="V24" s="345"/>
      <c r="W24" s="345"/>
      <c r="X24" s="345"/>
      <c r="Y24" s="345"/>
      <c r="Z24" s="223">
        <f t="shared" si="3"/>
        <v>0</v>
      </c>
      <c r="AA24" s="362"/>
      <c r="AB24" s="362"/>
      <c r="AC24" s="362"/>
      <c r="AD24" s="362"/>
      <c r="AE24" s="362"/>
      <c r="AF24" s="223">
        <f t="shared" si="4"/>
        <v>0</v>
      </c>
      <c r="AG24" s="378"/>
      <c r="AH24" s="378"/>
      <c r="AI24" s="379"/>
      <c r="AJ24" s="379"/>
      <c r="AK24" s="379"/>
      <c r="AL24" s="223">
        <f t="shared" si="5"/>
        <v>0</v>
      </c>
      <c r="AM24" s="405"/>
      <c r="AN24" s="405"/>
      <c r="AO24" s="405"/>
      <c r="AP24" s="405"/>
      <c r="AQ24" s="405"/>
      <c r="AR24" s="223">
        <f t="shared" si="6"/>
        <v>0</v>
      </c>
      <c r="AS24" s="25">
        <f t="shared" si="10"/>
        <v>751</v>
      </c>
      <c r="AT24" s="26">
        <f t="shared" si="11"/>
        <v>5</v>
      </c>
      <c r="AU24" s="266">
        <f t="shared" si="12"/>
        <v>150.19999999999999</v>
      </c>
    </row>
    <row r="25" spans="1:47" s="27" customFormat="1" ht="15">
      <c r="A25" s="190" t="s">
        <v>16</v>
      </c>
      <c r="B25" s="145" t="s">
        <v>113</v>
      </c>
      <c r="C25" s="291"/>
      <c r="D25" s="291"/>
      <c r="E25" s="291"/>
      <c r="F25" s="291"/>
      <c r="G25" s="291"/>
      <c r="H25" s="223">
        <f t="shared" si="0"/>
        <v>0</v>
      </c>
      <c r="I25" s="318"/>
      <c r="J25" s="318"/>
      <c r="K25" s="318"/>
      <c r="L25" s="318"/>
      <c r="M25" s="318"/>
      <c r="N25" s="223">
        <f t="shared" si="1"/>
        <v>0</v>
      </c>
      <c r="O25" s="334"/>
      <c r="P25" s="334"/>
      <c r="Q25" s="334"/>
      <c r="R25" s="334"/>
      <c r="S25" s="334"/>
      <c r="T25" s="223">
        <f t="shared" si="2"/>
        <v>0</v>
      </c>
      <c r="U25" s="345"/>
      <c r="V25" s="345"/>
      <c r="W25" s="345"/>
      <c r="X25" s="345"/>
      <c r="Y25" s="345"/>
      <c r="Z25" s="223">
        <f t="shared" si="3"/>
        <v>0</v>
      </c>
      <c r="AA25" s="362"/>
      <c r="AB25" s="362"/>
      <c r="AC25" s="362"/>
      <c r="AD25" s="362"/>
      <c r="AE25" s="362"/>
      <c r="AF25" s="223">
        <f t="shared" si="4"/>
        <v>0</v>
      </c>
      <c r="AG25" s="378"/>
      <c r="AH25" s="378"/>
      <c r="AI25" s="379"/>
      <c r="AJ25" s="379"/>
      <c r="AK25" s="379"/>
      <c r="AL25" s="223">
        <f t="shared" si="5"/>
        <v>0</v>
      </c>
      <c r="AM25" s="405"/>
      <c r="AN25" s="405"/>
      <c r="AO25" s="405"/>
      <c r="AP25" s="405"/>
      <c r="AQ25" s="405"/>
      <c r="AR25" s="223">
        <f t="shared" si="6"/>
        <v>0</v>
      </c>
      <c r="AS25" s="25">
        <f t="shared" si="10"/>
        <v>0</v>
      </c>
      <c r="AT25" s="26">
        <f t="shared" si="11"/>
        <v>0</v>
      </c>
      <c r="AU25" s="266" t="str">
        <f t="shared" si="12"/>
        <v/>
      </c>
    </row>
    <row r="26" spans="1:47" s="27" customFormat="1" ht="15">
      <c r="A26" s="190" t="s">
        <v>16</v>
      </c>
      <c r="B26" s="145" t="s">
        <v>116</v>
      </c>
      <c r="C26" s="719">
        <v>125</v>
      </c>
      <c r="D26" s="719">
        <v>123</v>
      </c>
      <c r="E26" s="719">
        <v>125</v>
      </c>
      <c r="F26" s="719">
        <v>128</v>
      </c>
      <c r="G26" s="719">
        <v>121</v>
      </c>
      <c r="H26" s="223">
        <f t="shared" si="0"/>
        <v>622</v>
      </c>
      <c r="I26" s="318"/>
      <c r="J26" s="318"/>
      <c r="K26" s="318"/>
      <c r="L26" s="318"/>
      <c r="M26" s="318"/>
      <c r="N26" s="223">
        <f t="shared" si="1"/>
        <v>0</v>
      </c>
      <c r="O26" s="334"/>
      <c r="P26" s="334"/>
      <c r="Q26" s="334"/>
      <c r="R26" s="334"/>
      <c r="S26" s="334"/>
      <c r="T26" s="223">
        <f t="shared" si="2"/>
        <v>0</v>
      </c>
      <c r="U26" s="345"/>
      <c r="V26" s="345"/>
      <c r="W26" s="345"/>
      <c r="X26" s="345"/>
      <c r="Y26" s="345"/>
      <c r="Z26" s="223">
        <f t="shared" si="3"/>
        <v>0</v>
      </c>
      <c r="AA26" s="261"/>
      <c r="AB26" s="261"/>
      <c r="AC26" s="261"/>
      <c r="AD26" s="261"/>
      <c r="AE26" s="261"/>
      <c r="AF26" s="223">
        <f t="shared" si="4"/>
        <v>0</v>
      </c>
      <c r="AG26" s="378"/>
      <c r="AH26" s="378"/>
      <c r="AI26" s="379"/>
      <c r="AJ26" s="379"/>
      <c r="AK26" s="379"/>
      <c r="AL26" s="223">
        <f t="shared" si="5"/>
        <v>0</v>
      </c>
      <c r="AM26" s="405"/>
      <c r="AN26" s="405"/>
      <c r="AO26" s="405"/>
      <c r="AP26" s="405"/>
      <c r="AQ26" s="405"/>
      <c r="AR26" s="223">
        <f t="shared" si="6"/>
        <v>0</v>
      </c>
      <c r="AS26" s="25">
        <f>SUM(N26,H26,T26,Z26,AF26,AL26,AR26)</f>
        <v>622</v>
      </c>
      <c r="AT26" s="26">
        <f>COUNT(C26:G26,I26:M26,O26:S26,U26:Y26,AA26:AE26,AG26:AK26,AM26:AQ26)</f>
        <v>5</v>
      </c>
      <c r="AU26" s="266">
        <f>IF(AT26=0,"",AS26/AT26)</f>
        <v>124.4</v>
      </c>
    </row>
    <row r="27" spans="1:47" s="27" customFormat="1" ht="15">
      <c r="A27" s="190" t="s">
        <v>16</v>
      </c>
      <c r="B27" s="145" t="s">
        <v>89</v>
      </c>
      <c r="C27" s="43"/>
      <c r="D27" s="43"/>
      <c r="E27" s="43"/>
      <c r="F27" s="43"/>
      <c r="G27" s="43"/>
      <c r="H27" s="223">
        <f t="shared" si="0"/>
        <v>0</v>
      </c>
      <c r="I27" s="224"/>
      <c r="J27" s="224"/>
      <c r="K27" s="224"/>
      <c r="L27" s="224"/>
      <c r="M27" s="224"/>
      <c r="N27" s="223">
        <f t="shared" si="1"/>
        <v>0</v>
      </c>
      <c r="O27" s="229"/>
      <c r="P27" s="229"/>
      <c r="Q27" s="229"/>
      <c r="R27" s="229"/>
      <c r="S27" s="229"/>
      <c r="T27" s="223">
        <f t="shared" si="2"/>
        <v>0</v>
      </c>
      <c r="U27" s="345"/>
      <c r="V27" s="345"/>
      <c r="W27" s="345"/>
      <c r="X27" s="345"/>
      <c r="Y27" s="345"/>
      <c r="Z27" s="223">
        <f t="shared" si="3"/>
        <v>0</v>
      </c>
      <c r="AA27" s="362"/>
      <c r="AB27" s="362"/>
      <c r="AC27" s="362"/>
      <c r="AD27" s="362"/>
      <c r="AE27" s="362"/>
      <c r="AF27" s="223">
        <f t="shared" si="4"/>
        <v>0</v>
      </c>
      <c r="AG27" s="228"/>
      <c r="AH27" s="228"/>
      <c r="AI27" s="228"/>
      <c r="AJ27" s="228"/>
      <c r="AK27" s="228"/>
      <c r="AL27" s="223">
        <f t="shared" si="5"/>
        <v>0</v>
      </c>
      <c r="AM27" s="405"/>
      <c r="AN27" s="405"/>
      <c r="AO27" s="405"/>
      <c r="AP27" s="405"/>
      <c r="AQ27" s="405"/>
      <c r="AR27" s="223">
        <f t="shared" si="6"/>
        <v>0</v>
      </c>
      <c r="AS27" s="25">
        <f>SUM(N27,H27,T27,Z27,AF27,AL27,AR27)</f>
        <v>0</v>
      </c>
      <c r="AT27" s="26">
        <f>COUNT(C27:G27,I27:M27,O27:S27,U27:Y27,AA27:AE27,AG27:AK27,AM27:AQ27)</f>
        <v>0</v>
      </c>
      <c r="AU27" s="266" t="str">
        <f>IF(AT27=0,"",AS27/AT27)</f>
        <v/>
      </c>
    </row>
    <row r="28" spans="1:47" s="27" customFormat="1" ht="15">
      <c r="A28" s="190" t="s">
        <v>16</v>
      </c>
      <c r="B28" s="145" t="s">
        <v>94</v>
      </c>
      <c r="C28" s="719">
        <v>115</v>
      </c>
      <c r="D28" s="719">
        <v>190</v>
      </c>
      <c r="E28" s="719">
        <v>116</v>
      </c>
      <c r="F28" s="719">
        <v>151</v>
      </c>
      <c r="G28" s="719">
        <v>140</v>
      </c>
      <c r="H28" s="223">
        <f t="shared" si="0"/>
        <v>712</v>
      </c>
      <c r="I28" s="318"/>
      <c r="J28" s="318"/>
      <c r="K28" s="318"/>
      <c r="L28" s="318"/>
      <c r="M28" s="318"/>
      <c r="N28" s="223">
        <f t="shared" si="1"/>
        <v>0</v>
      </c>
      <c r="O28" s="334"/>
      <c r="P28" s="334"/>
      <c r="Q28" s="334"/>
      <c r="R28" s="334"/>
      <c r="S28" s="334"/>
      <c r="T28" s="223">
        <f t="shared" si="2"/>
        <v>0</v>
      </c>
      <c r="U28" s="224"/>
      <c r="V28" s="224"/>
      <c r="W28" s="224"/>
      <c r="X28" s="224"/>
      <c r="Y28" s="224"/>
      <c r="Z28" s="223">
        <f t="shared" si="3"/>
        <v>0</v>
      </c>
      <c r="AA28" s="362"/>
      <c r="AB28" s="362"/>
      <c r="AC28" s="362"/>
      <c r="AD28" s="362"/>
      <c r="AE28" s="362"/>
      <c r="AF28" s="223">
        <f t="shared" si="4"/>
        <v>0</v>
      </c>
      <c r="AG28" s="378"/>
      <c r="AH28" s="378"/>
      <c r="AI28" s="379"/>
      <c r="AJ28" s="379"/>
      <c r="AK28" s="379"/>
      <c r="AL28" s="223">
        <f t="shared" si="5"/>
        <v>0</v>
      </c>
      <c r="AM28" s="284"/>
      <c r="AN28" s="284"/>
      <c r="AO28" s="284"/>
      <c r="AP28" s="284"/>
      <c r="AQ28" s="284"/>
      <c r="AR28" s="223">
        <f t="shared" si="6"/>
        <v>0</v>
      </c>
      <c r="AS28" s="25">
        <f>SUM(N28,H28,T28,Z28,AF28,AL28,AR28)</f>
        <v>712</v>
      </c>
      <c r="AT28" s="26">
        <f>COUNT(C28:G28,I28:M28,O28:S28,U28:Y28,AA28:AE28,AG28:AK28,AM28:AQ28)</f>
        <v>5</v>
      </c>
      <c r="AU28" s="266">
        <f>IF(AT28=0,"",AS28/AT28)</f>
        <v>142.4</v>
      </c>
    </row>
    <row r="29" spans="1:47" s="27" customFormat="1" ht="15">
      <c r="A29" s="190" t="s">
        <v>16</v>
      </c>
      <c r="B29" s="145" t="s">
        <v>165</v>
      </c>
      <c r="C29" s="31"/>
      <c r="D29" s="31"/>
      <c r="E29" s="31"/>
      <c r="F29" s="31"/>
      <c r="G29" s="31"/>
      <c r="H29" s="223">
        <f t="shared" si="0"/>
        <v>0</v>
      </c>
      <c r="I29" s="318"/>
      <c r="J29" s="318"/>
      <c r="K29" s="318"/>
      <c r="L29" s="318"/>
      <c r="M29" s="318"/>
      <c r="N29" s="223">
        <f t="shared" si="1"/>
        <v>0</v>
      </c>
      <c r="O29" s="229"/>
      <c r="P29" s="229"/>
      <c r="Q29" s="229"/>
      <c r="R29" s="229"/>
      <c r="S29" s="229"/>
      <c r="T29" s="223">
        <f t="shared" si="2"/>
        <v>0</v>
      </c>
      <c r="U29" s="224"/>
      <c r="V29" s="224"/>
      <c r="W29" s="224"/>
      <c r="X29" s="224"/>
      <c r="Y29" s="224"/>
      <c r="Z29" s="223">
        <f t="shared" si="3"/>
        <v>0</v>
      </c>
      <c r="AA29" s="232"/>
      <c r="AB29" s="232"/>
      <c r="AC29" s="232"/>
      <c r="AD29" s="232"/>
      <c r="AE29" s="232"/>
      <c r="AF29" s="223">
        <f t="shared" si="4"/>
        <v>0</v>
      </c>
      <c r="AG29" s="228"/>
      <c r="AH29" s="228"/>
      <c r="AI29" s="228"/>
      <c r="AJ29" s="228"/>
      <c r="AK29" s="228"/>
      <c r="AL29" s="223">
        <f t="shared" si="5"/>
        <v>0</v>
      </c>
      <c r="AM29" s="228"/>
      <c r="AN29" s="228"/>
      <c r="AO29" s="228"/>
      <c r="AP29" s="228"/>
      <c r="AQ29" s="228"/>
      <c r="AR29" s="223">
        <f t="shared" si="6"/>
        <v>0</v>
      </c>
      <c r="AS29" s="25">
        <f>SUM(N29,H29,T29,Z29,AF29,AL29,AR29)</f>
        <v>0</v>
      </c>
      <c r="AT29" s="26">
        <f>COUNT(C29:G29,I29:M29,O29:S29,U29:Y29,AA29:AE29,AG29:AK29,AM29:AQ29)</f>
        <v>0</v>
      </c>
      <c r="AU29" s="266" t="str">
        <f>IF(AT29=0,"",AS29/AT29)</f>
        <v/>
      </c>
    </row>
    <row r="30" spans="1:47" s="27" customFormat="1" ht="15">
      <c r="A30" s="190"/>
      <c r="B30" s="145"/>
      <c r="C30" s="43"/>
      <c r="D30" s="43"/>
      <c r="E30" s="43"/>
      <c r="F30" s="43"/>
      <c r="G30" s="43"/>
      <c r="H30" s="223"/>
      <c r="I30" s="226"/>
      <c r="J30" s="226"/>
      <c r="K30" s="226"/>
      <c r="L30" s="226"/>
      <c r="M30" s="226"/>
      <c r="N30" s="238"/>
      <c r="O30" s="228"/>
      <c r="P30" s="228"/>
      <c r="Q30" s="228"/>
      <c r="R30" s="228"/>
      <c r="S30" s="228"/>
      <c r="T30" s="238"/>
      <c r="U30" s="224"/>
      <c r="V30" s="224"/>
      <c r="W30" s="224"/>
      <c r="X30" s="224"/>
      <c r="Y30" s="224"/>
      <c r="Z30" s="238"/>
      <c r="AA30" s="232"/>
      <c r="AB30" s="232"/>
      <c r="AC30" s="232"/>
      <c r="AD30" s="232"/>
      <c r="AE30" s="232"/>
      <c r="AF30" s="238"/>
      <c r="AG30" s="228"/>
      <c r="AH30" s="228"/>
      <c r="AI30" s="228"/>
      <c r="AJ30" s="228"/>
      <c r="AK30" s="228"/>
      <c r="AL30" s="238"/>
      <c r="AM30" s="228"/>
      <c r="AN30" s="228"/>
      <c r="AO30" s="228"/>
      <c r="AP30" s="228"/>
      <c r="AQ30" s="228"/>
      <c r="AR30" s="238"/>
      <c r="AS30" s="25"/>
      <c r="AT30" s="26"/>
      <c r="AU30" s="243"/>
    </row>
    <row r="31" spans="1:47" s="27" customFormat="1" ht="15.75" thickBot="1">
      <c r="A31" s="191"/>
      <c r="B31" s="192"/>
      <c r="C31" s="175"/>
      <c r="D31" s="175"/>
      <c r="E31" s="175"/>
      <c r="F31" s="175"/>
      <c r="G31" s="175"/>
      <c r="H31" s="176"/>
      <c r="I31" s="175"/>
      <c r="J31" s="175"/>
      <c r="K31" s="175"/>
      <c r="L31" s="175"/>
      <c r="M31" s="175"/>
      <c r="N31" s="177"/>
      <c r="O31" s="177"/>
      <c r="P31" s="177"/>
      <c r="Q31" s="177"/>
      <c r="R31" s="177"/>
      <c r="S31" s="177"/>
      <c r="T31" s="177"/>
      <c r="U31" s="178"/>
      <c r="V31" s="178"/>
      <c r="W31" s="178"/>
      <c r="X31" s="178"/>
      <c r="Y31" s="178"/>
      <c r="Z31" s="177"/>
      <c r="AA31" s="178"/>
      <c r="AB31" s="178"/>
      <c r="AC31" s="178"/>
      <c r="AD31" s="178"/>
      <c r="AE31" s="178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>
        <f>SUM(AS10:AS27)</f>
        <v>6266</v>
      </c>
      <c r="AT31" s="177">
        <f>SUM(AT10:AT27)</f>
        <v>45</v>
      </c>
      <c r="AU31" s="179">
        <f>IF(AT31=0,"",AS31/AT31)</f>
        <v>139.24444444444444</v>
      </c>
    </row>
    <row r="32" spans="1:47" s="27" customFormat="1" ht="15.75" thickBot="1">
      <c r="A32" s="184"/>
      <c r="B32" s="193"/>
      <c r="C32" s="182"/>
      <c r="D32" s="182"/>
      <c r="E32" s="182"/>
      <c r="F32" s="182"/>
      <c r="G32" s="182"/>
      <c r="H32" s="183"/>
      <c r="I32" s="182"/>
      <c r="J32" s="182"/>
      <c r="K32" s="182"/>
      <c r="L32" s="182"/>
      <c r="M32" s="182"/>
      <c r="N32" s="183"/>
      <c r="O32" s="183"/>
      <c r="P32" s="183"/>
      <c r="Q32" s="183"/>
      <c r="R32" s="183"/>
      <c r="S32" s="183"/>
      <c r="T32" s="183"/>
      <c r="U32" s="184"/>
      <c r="V32" s="184"/>
      <c r="W32" s="184"/>
      <c r="X32" s="184"/>
      <c r="Y32" s="184"/>
      <c r="Z32" s="183"/>
      <c r="AA32" s="184"/>
      <c r="AB32" s="184"/>
      <c r="AC32" s="184"/>
      <c r="AD32" s="184"/>
      <c r="AE32" s="184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5"/>
    </row>
    <row r="33" spans="1:47" s="27" customFormat="1" ht="15">
      <c r="A33" s="194" t="s">
        <v>5</v>
      </c>
      <c r="B33" s="195" t="s">
        <v>4</v>
      </c>
      <c r="C33" s="719">
        <v>113</v>
      </c>
      <c r="D33" s="719">
        <v>138</v>
      </c>
      <c r="E33" s="719">
        <v>155</v>
      </c>
      <c r="F33" s="719">
        <v>159</v>
      </c>
      <c r="G33" s="719">
        <v>183</v>
      </c>
      <c r="H33" s="222">
        <f t="shared" ref="H33:H46" si="13">SUM(C33+D33+E33+F33+G33)</f>
        <v>748</v>
      </c>
      <c r="I33" s="322"/>
      <c r="J33" s="322"/>
      <c r="K33" s="322"/>
      <c r="L33" s="322"/>
      <c r="M33" s="322"/>
      <c r="N33" s="222">
        <f t="shared" ref="N33:N46" si="14">SUM(I33+J33+K33+L33+M33)</f>
        <v>0</v>
      </c>
      <c r="O33" s="331"/>
      <c r="P33" s="331"/>
      <c r="Q33" s="331"/>
      <c r="R33" s="331"/>
      <c r="S33" s="331"/>
      <c r="T33" s="222">
        <f t="shared" ref="T33:T46" si="15">SUM(O33+P33+Q33+R33+S33)</f>
        <v>0</v>
      </c>
      <c r="U33" s="345"/>
      <c r="V33" s="345"/>
      <c r="W33" s="345"/>
      <c r="X33" s="345"/>
      <c r="Y33" s="345"/>
      <c r="Z33" s="222">
        <f t="shared" ref="Z33:Z46" si="16">SUM(U33+V33+W33+X33+Y33)</f>
        <v>0</v>
      </c>
      <c r="AA33" s="362"/>
      <c r="AB33" s="362"/>
      <c r="AC33" s="362"/>
      <c r="AD33" s="362"/>
      <c r="AE33" s="362"/>
      <c r="AF33" s="222">
        <f t="shared" ref="AF33:AF46" si="17">SUM(AA33+AB33+AC33+AD33+AE33)</f>
        <v>0</v>
      </c>
      <c r="AG33" s="380"/>
      <c r="AH33" s="380"/>
      <c r="AI33" s="380"/>
      <c r="AJ33" s="380"/>
      <c r="AK33" s="380"/>
      <c r="AL33" s="222">
        <f t="shared" ref="AL33:AL46" si="18">SUM(AG33+AH33+AI33+AJ33+AK33)</f>
        <v>0</v>
      </c>
      <c r="AM33" s="403"/>
      <c r="AN33" s="403"/>
      <c r="AO33" s="403"/>
      <c r="AP33" s="403"/>
      <c r="AQ33" s="403"/>
      <c r="AR33" s="222">
        <f t="shared" ref="AR33:AR46" si="19">SUM(AM33+AN33+AO33+AP33+AQ33)</f>
        <v>0</v>
      </c>
      <c r="AS33" s="188">
        <f t="shared" ref="AS33:AS40" si="20">SUM(N33,H33,T33,Z33,AF33,AL33,AR33)</f>
        <v>748</v>
      </c>
      <c r="AT33" s="189">
        <f t="shared" ref="AT33:AT40" si="21">COUNT(C33:G33,I33:M33,O33:S33,U33:Y33,AA33:AE33,AG33:AK33,AM33:AQ33)</f>
        <v>5</v>
      </c>
      <c r="AU33" s="267">
        <f t="shared" ref="AU33:AU40" si="22">IF(AT33=0,"",AS33/AT33)</f>
        <v>149.6</v>
      </c>
    </row>
    <row r="34" spans="1:47" s="27" customFormat="1" ht="15">
      <c r="A34" s="196" t="s">
        <v>5</v>
      </c>
      <c r="B34" s="146" t="s">
        <v>69</v>
      </c>
      <c r="C34" s="719">
        <v>132</v>
      </c>
      <c r="D34" s="719">
        <v>174</v>
      </c>
      <c r="E34" s="719">
        <v>149</v>
      </c>
      <c r="F34" s="719">
        <v>140</v>
      </c>
      <c r="G34" s="719">
        <v>162</v>
      </c>
      <c r="H34" s="223">
        <f t="shared" si="13"/>
        <v>757</v>
      </c>
      <c r="I34" s="322"/>
      <c r="J34" s="322"/>
      <c r="K34" s="322"/>
      <c r="L34" s="322"/>
      <c r="M34" s="322"/>
      <c r="N34" s="223">
        <f t="shared" si="14"/>
        <v>0</v>
      </c>
      <c r="O34" s="331"/>
      <c r="P34" s="331"/>
      <c r="Q34" s="331"/>
      <c r="R34" s="331"/>
      <c r="S34" s="331"/>
      <c r="T34" s="223">
        <f t="shared" si="15"/>
        <v>0</v>
      </c>
      <c r="U34" s="345"/>
      <c r="V34" s="345"/>
      <c r="W34" s="345"/>
      <c r="X34" s="345"/>
      <c r="Y34" s="345"/>
      <c r="Z34" s="223">
        <f t="shared" si="16"/>
        <v>0</v>
      </c>
      <c r="AA34" s="362"/>
      <c r="AB34" s="362"/>
      <c r="AC34" s="362"/>
      <c r="AD34" s="362"/>
      <c r="AE34" s="362"/>
      <c r="AF34" s="223">
        <f t="shared" si="17"/>
        <v>0</v>
      </c>
      <c r="AG34" s="380"/>
      <c r="AH34" s="380"/>
      <c r="AI34" s="380"/>
      <c r="AJ34" s="380"/>
      <c r="AK34" s="380"/>
      <c r="AL34" s="223">
        <f t="shared" si="18"/>
        <v>0</v>
      </c>
      <c r="AM34" s="403"/>
      <c r="AN34" s="403"/>
      <c r="AO34" s="403"/>
      <c r="AP34" s="403"/>
      <c r="AQ34" s="403"/>
      <c r="AR34" s="223">
        <f t="shared" si="19"/>
        <v>0</v>
      </c>
      <c r="AS34" s="25">
        <f t="shared" si="20"/>
        <v>757</v>
      </c>
      <c r="AT34" s="26">
        <f t="shared" si="21"/>
        <v>5</v>
      </c>
      <c r="AU34" s="266">
        <f t="shared" si="22"/>
        <v>151.4</v>
      </c>
    </row>
    <row r="35" spans="1:47" s="27" customFormat="1" ht="15">
      <c r="A35" s="196" t="s">
        <v>5</v>
      </c>
      <c r="B35" s="147" t="s">
        <v>9</v>
      </c>
      <c r="C35" s="719">
        <v>101</v>
      </c>
      <c r="D35" s="719">
        <v>150</v>
      </c>
      <c r="E35" s="719">
        <v>169</v>
      </c>
      <c r="F35" s="719">
        <v>168</v>
      </c>
      <c r="G35" s="719">
        <v>133</v>
      </c>
      <c r="H35" s="223">
        <f t="shared" si="13"/>
        <v>721</v>
      </c>
      <c r="I35" s="322"/>
      <c r="J35" s="322"/>
      <c r="K35" s="322"/>
      <c r="L35" s="322"/>
      <c r="M35" s="322"/>
      <c r="N35" s="223">
        <f t="shared" si="14"/>
        <v>0</v>
      </c>
      <c r="O35" s="331"/>
      <c r="P35" s="331"/>
      <c r="Q35" s="331"/>
      <c r="R35" s="331"/>
      <c r="S35" s="331"/>
      <c r="T35" s="223">
        <f t="shared" si="15"/>
        <v>0</v>
      </c>
      <c r="U35" s="345"/>
      <c r="V35" s="345"/>
      <c r="W35" s="345"/>
      <c r="X35" s="345"/>
      <c r="Y35" s="345"/>
      <c r="Z35" s="223">
        <f t="shared" si="16"/>
        <v>0</v>
      </c>
      <c r="AA35" s="362"/>
      <c r="AB35" s="362"/>
      <c r="AC35" s="362"/>
      <c r="AD35" s="362"/>
      <c r="AE35" s="362"/>
      <c r="AF35" s="223">
        <f t="shared" si="17"/>
        <v>0</v>
      </c>
      <c r="AG35" s="380"/>
      <c r="AH35" s="380"/>
      <c r="AI35" s="380"/>
      <c r="AJ35" s="380"/>
      <c r="AK35" s="380"/>
      <c r="AL35" s="223">
        <f t="shared" si="18"/>
        <v>0</v>
      </c>
      <c r="AM35" s="403"/>
      <c r="AN35" s="403"/>
      <c r="AO35" s="403"/>
      <c r="AP35" s="403"/>
      <c r="AQ35" s="403"/>
      <c r="AR35" s="223">
        <f t="shared" si="19"/>
        <v>0</v>
      </c>
      <c r="AS35" s="25">
        <f t="shared" si="20"/>
        <v>721</v>
      </c>
      <c r="AT35" s="26">
        <f t="shared" si="21"/>
        <v>5</v>
      </c>
      <c r="AU35" s="266">
        <f t="shared" si="22"/>
        <v>144.19999999999999</v>
      </c>
    </row>
    <row r="36" spans="1:47" s="27" customFormat="1" ht="15">
      <c r="A36" s="196" t="s">
        <v>5</v>
      </c>
      <c r="B36" s="146" t="s">
        <v>8</v>
      </c>
      <c r="C36" s="719">
        <v>170</v>
      </c>
      <c r="D36" s="719">
        <v>166</v>
      </c>
      <c r="E36" s="719">
        <v>164</v>
      </c>
      <c r="F36" s="719">
        <v>160</v>
      </c>
      <c r="G36" s="719">
        <v>192</v>
      </c>
      <c r="H36" s="223">
        <f t="shared" si="13"/>
        <v>852</v>
      </c>
      <c r="I36" s="322"/>
      <c r="J36" s="322"/>
      <c r="K36" s="322"/>
      <c r="L36" s="322"/>
      <c r="M36" s="322"/>
      <c r="N36" s="223">
        <f t="shared" si="14"/>
        <v>0</v>
      </c>
      <c r="O36" s="331"/>
      <c r="P36" s="331"/>
      <c r="Q36" s="331"/>
      <c r="R36" s="331"/>
      <c r="S36" s="331"/>
      <c r="T36" s="223">
        <f t="shared" si="15"/>
        <v>0</v>
      </c>
      <c r="U36" s="345"/>
      <c r="V36" s="345"/>
      <c r="W36" s="345"/>
      <c r="X36" s="345"/>
      <c r="Y36" s="345"/>
      <c r="Z36" s="223">
        <f t="shared" si="16"/>
        <v>0</v>
      </c>
      <c r="AA36" s="362"/>
      <c r="AB36" s="362"/>
      <c r="AC36" s="362"/>
      <c r="AD36" s="362"/>
      <c r="AE36" s="362"/>
      <c r="AF36" s="223">
        <f t="shared" si="17"/>
        <v>0</v>
      </c>
      <c r="AG36" s="380"/>
      <c r="AH36" s="380"/>
      <c r="AI36" s="380"/>
      <c r="AJ36" s="380"/>
      <c r="AK36" s="380"/>
      <c r="AL36" s="223">
        <f t="shared" si="18"/>
        <v>0</v>
      </c>
      <c r="AM36" s="403"/>
      <c r="AN36" s="403"/>
      <c r="AO36" s="403"/>
      <c r="AP36" s="403"/>
      <c r="AQ36" s="403"/>
      <c r="AR36" s="223">
        <f t="shared" si="19"/>
        <v>0</v>
      </c>
      <c r="AS36" s="25">
        <f t="shared" si="20"/>
        <v>852</v>
      </c>
      <c r="AT36" s="26">
        <f t="shared" si="21"/>
        <v>5</v>
      </c>
      <c r="AU36" s="266">
        <f t="shared" si="22"/>
        <v>170.4</v>
      </c>
    </row>
    <row r="37" spans="1:47" s="27" customFormat="1" ht="15">
      <c r="A37" s="196" t="s">
        <v>5</v>
      </c>
      <c r="B37" s="146" t="s">
        <v>35</v>
      </c>
      <c r="C37" s="719">
        <v>134</v>
      </c>
      <c r="D37" s="719">
        <v>127</v>
      </c>
      <c r="E37" s="719">
        <v>138</v>
      </c>
      <c r="F37" s="719">
        <v>161</v>
      </c>
      <c r="G37" s="719">
        <v>177</v>
      </c>
      <c r="H37" s="223">
        <f t="shared" si="13"/>
        <v>737</v>
      </c>
      <c r="I37" s="322"/>
      <c r="J37" s="322"/>
      <c r="K37" s="322"/>
      <c r="L37" s="322"/>
      <c r="M37" s="322"/>
      <c r="N37" s="223">
        <f t="shared" si="14"/>
        <v>0</v>
      </c>
      <c r="O37" s="331"/>
      <c r="P37" s="331"/>
      <c r="Q37" s="331"/>
      <c r="R37" s="331"/>
      <c r="S37" s="331"/>
      <c r="T37" s="223">
        <f t="shared" si="15"/>
        <v>0</v>
      </c>
      <c r="U37" s="345"/>
      <c r="V37" s="345"/>
      <c r="W37" s="345"/>
      <c r="X37" s="345"/>
      <c r="Y37" s="345"/>
      <c r="Z37" s="223">
        <f t="shared" si="16"/>
        <v>0</v>
      </c>
      <c r="AA37" s="362"/>
      <c r="AB37" s="362"/>
      <c r="AC37" s="362"/>
      <c r="AD37" s="362"/>
      <c r="AE37" s="362"/>
      <c r="AF37" s="223">
        <f t="shared" si="17"/>
        <v>0</v>
      </c>
      <c r="AG37" s="380"/>
      <c r="AH37" s="380"/>
      <c r="AI37" s="380"/>
      <c r="AJ37" s="380"/>
      <c r="AK37" s="380"/>
      <c r="AL37" s="223">
        <f t="shared" si="18"/>
        <v>0</v>
      </c>
      <c r="AM37" s="403"/>
      <c r="AN37" s="403"/>
      <c r="AO37" s="403"/>
      <c r="AP37" s="403"/>
      <c r="AQ37" s="403"/>
      <c r="AR37" s="223">
        <f t="shared" si="19"/>
        <v>0</v>
      </c>
      <c r="AS37" s="25">
        <f t="shared" si="20"/>
        <v>737</v>
      </c>
      <c r="AT37" s="26">
        <f t="shared" si="21"/>
        <v>5</v>
      </c>
      <c r="AU37" s="266">
        <f t="shared" si="22"/>
        <v>147.4</v>
      </c>
    </row>
    <row r="38" spans="1:47" s="27" customFormat="1" ht="15">
      <c r="A38" s="196" t="s">
        <v>5</v>
      </c>
      <c r="B38" s="148" t="s">
        <v>36</v>
      </c>
      <c r="C38" s="719">
        <v>132</v>
      </c>
      <c r="D38" s="719">
        <v>173</v>
      </c>
      <c r="E38" s="719">
        <v>137</v>
      </c>
      <c r="F38" s="719">
        <v>151</v>
      </c>
      <c r="G38" s="719">
        <v>119</v>
      </c>
      <c r="H38" s="223">
        <f t="shared" si="13"/>
        <v>712</v>
      </c>
      <c r="I38" s="322"/>
      <c r="J38" s="322"/>
      <c r="K38" s="322"/>
      <c r="L38" s="322"/>
      <c r="M38" s="322"/>
      <c r="N38" s="223">
        <f t="shared" si="14"/>
        <v>0</v>
      </c>
      <c r="O38" s="330"/>
      <c r="P38" s="330"/>
      <c r="Q38" s="330"/>
      <c r="R38" s="330"/>
      <c r="S38" s="330"/>
      <c r="T38" s="223">
        <f t="shared" si="15"/>
        <v>0</v>
      </c>
      <c r="U38" s="345"/>
      <c r="V38" s="345"/>
      <c r="W38" s="345"/>
      <c r="X38" s="345"/>
      <c r="Y38" s="345"/>
      <c r="Z38" s="223">
        <f t="shared" si="16"/>
        <v>0</v>
      </c>
      <c r="AA38" s="362"/>
      <c r="AB38" s="362"/>
      <c r="AC38" s="362"/>
      <c r="AD38" s="362"/>
      <c r="AE38" s="362"/>
      <c r="AF38" s="223">
        <f t="shared" si="17"/>
        <v>0</v>
      </c>
      <c r="AG38" s="227"/>
      <c r="AH38" s="227"/>
      <c r="AI38" s="227"/>
      <c r="AJ38" s="227"/>
      <c r="AK38" s="227"/>
      <c r="AL38" s="223">
        <f t="shared" si="18"/>
        <v>0</v>
      </c>
      <c r="AM38" s="403"/>
      <c r="AN38" s="403"/>
      <c r="AO38" s="403"/>
      <c r="AP38" s="403"/>
      <c r="AQ38" s="403"/>
      <c r="AR38" s="223">
        <f t="shared" si="19"/>
        <v>0</v>
      </c>
      <c r="AS38" s="25">
        <f t="shared" si="20"/>
        <v>712</v>
      </c>
      <c r="AT38" s="26">
        <f t="shared" si="21"/>
        <v>5</v>
      </c>
      <c r="AU38" s="266">
        <f t="shared" si="22"/>
        <v>142.4</v>
      </c>
    </row>
    <row r="39" spans="1:47" s="27" customFormat="1" ht="15">
      <c r="A39" s="196" t="s">
        <v>5</v>
      </c>
      <c r="B39" s="146" t="s">
        <v>159</v>
      </c>
      <c r="C39" s="719">
        <v>140</v>
      </c>
      <c r="D39" s="719">
        <v>163</v>
      </c>
      <c r="E39" s="719">
        <v>169</v>
      </c>
      <c r="F39" s="719">
        <v>100</v>
      </c>
      <c r="G39" s="719">
        <v>177</v>
      </c>
      <c r="H39" s="223">
        <f t="shared" si="13"/>
        <v>749</v>
      </c>
      <c r="I39" s="322"/>
      <c r="J39" s="322"/>
      <c r="K39" s="322"/>
      <c r="L39" s="322"/>
      <c r="M39" s="322"/>
      <c r="N39" s="223">
        <f t="shared" si="14"/>
        <v>0</v>
      </c>
      <c r="O39" s="332"/>
      <c r="P39" s="332"/>
      <c r="Q39" s="332"/>
      <c r="R39" s="332"/>
      <c r="S39" s="332"/>
      <c r="T39" s="223">
        <f t="shared" si="15"/>
        <v>0</v>
      </c>
      <c r="U39" s="345"/>
      <c r="V39" s="345"/>
      <c r="W39" s="345"/>
      <c r="X39" s="345"/>
      <c r="Y39" s="345"/>
      <c r="Z39" s="223">
        <f t="shared" si="16"/>
        <v>0</v>
      </c>
      <c r="AA39" s="362"/>
      <c r="AB39" s="362"/>
      <c r="AC39" s="362"/>
      <c r="AD39" s="362"/>
      <c r="AE39" s="362"/>
      <c r="AF39" s="223">
        <f t="shared" si="17"/>
        <v>0</v>
      </c>
      <c r="AG39" s="380"/>
      <c r="AH39" s="380"/>
      <c r="AI39" s="380"/>
      <c r="AJ39" s="380"/>
      <c r="AK39" s="380"/>
      <c r="AL39" s="223">
        <f t="shared" si="18"/>
        <v>0</v>
      </c>
      <c r="AM39" s="403"/>
      <c r="AN39" s="403"/>
      <c r="AO39" s="403"/>
      <c r="AP39" s="403"/>
      <c r="AQ39" s="403"/>
      <c r="AR39" s="223">
        <f t="shared" si="19"/>
        <v>0</v>
      </c>
      <c r="AS39" s="25">
        <f t="shared" si="20"/>
        <v>749</v>
      </c>
      <c r="AT39" s="26">
        <f t="shared" si="21"/>
        <v>5</v>
      </c>
      <c r="AU39" s="266">
        <f t="shared" si="22"/>
        <v>149.80000000000001</v>
      </c>
    </row>
    <row r="40" spans="1:47" s="27" customFormat="1" ht="15">
      <c r="A40" s="196" t="s">
        <v>5</v>
      </c>
      <c r="B40" s="148" t="s">
        <v>17</v>
      </c>
      <c r="C40" s="294"/>
      <c r="D40" s="294"/>
      <c r="E40" s="294"/>
      <c r="F40" s="294"/>
      <c r="G40" s="294"/>
      <c r="H40" s="223">
        <f t="shared" si="13"/>
        <v>0</v>
      </c>
      <c r="I40" s="322"/>
      <c r="J40" s="322"/>
      <c r="K40" s="322"/>
      <c r="L40" s="322"/>
      <c r="M40" s="322"/>
      <c r="N40" s="223">
        <f t="shared" si="14"/>
        <v>0</v>
      </c>
      <c r="O40" s="331"/>
      <c r="P40" s="331"/>
      <c r="Q40" s="331"/>
      <c r="R40" s="331"/>
      <c r="S40" s="331"/>
      <c r="T40" s="223">
        <f t="shared" si="15"/>
        <v>0</v>
      </c>
      <c r="U40" s="43"/>
      <c r="V40" s="43"/>
      <c r="W40" s="43"/>
      <c r="X40" s="43"/>
      <c r="Y40" s="43"/>
      <c r="Z40" s="223">
        <f t="shared" si="16"/>
        <v>0</v>
      </c>
      <c r="AA40" s="362"/>
      <c r="AB40" s="362"/>
      <c r="AC40" s="362"/>
      <c r="AD40" s="362"/>
      <c r="AE40" s="362"/>
      <c r="AF40" s="223">
        <f t="shared" si="17"/>
        <v>0</v>
      </c>
      <c r="AG40" s="380"/>
      <c r="AH40" s="380"/>
      <c r="AI40" s="380"/>
      <c r="AJ40" s="380"/>
      <c r="AK40" s="380"/>
      <c r="AL40" s="223">
        <f t="shared" si="18"/>
        <v>0</v>
      </c>
      <c r="AM40" s="403"/>
      <c r="AN40" s="403"/>
      <c r="AO40" s="403"/>
      <c r="AP40" s="403"/>
      <c r="AQ40" s="403"/>
      <c r="AR40" s="223">
        <f t="shared" si="19"/>
        <v>0</v>
      </c>
      <c r="AS40" s="25">
        <f t="shared" si="20"/>
        <v>0</v>
      </c>
      <c r="AT40" s="26">
        <f t="shared" si="21"/>
        <v>0</v>
      </c>
      <c r="AU40" s="266" t="str">
        <f t="shared" si="22"/>
        <v/>
      </c>
    </row>
    <row r="41" spans="1:47" s="27" customFormat="1" ht="15">
      <c r="A41" s="196" t="s">
        <v>5</v>
      </c>
      <c r="B41" s="148" t="s">
        <v>141</v>
      </c>
      <c r="C41" s="295"/>
      <c r="D41" s="295"/>
      <c r="E41" s="295"/>
      <c r="F41" s="295"/>
      <c r="G41" s="295"/>
      <c r="H41" s="223">
        <f t="shared" si="13"/>
        <v>0</v>
      </c>
      <c r="I41" s="224"/>
      <c r="J41" s="224"/>
      <c r="K41" s="224"/>
      <c r="L41" s="224"/>
      <c r="M41" s="224"/>
      <c r="N41" s="223">
        <f t="shared" si="14"/>
        <v>0</v>
      </c>
      <c r="O41" s="31"/>
      <c r="P41" s="31"/>
      <c r="Q41" s="31"/>
      <c r="R41" s="31"/>
      <c r="S41" s="31"/>
      <c r="T41" s="223">
        <f t="shared" si="15"/>
        <v>0</v>
      </c>
      <c r="U41" s="260"/>
      <c r="V41" s="260"/>
      <c r="W41" s="260"/>
      <c r="X41" s="260"/>
      <c r="Y41" s="260"/>
      <c r="Z41" s="223">
        <f t="shared" si="16"/>
        <v>0</v>
      </c>
      <c r="AA41" s="260"/>
      <c r="AB41" s="260"/>
      <c r="AC41" s="260"/>
      <c r="AD41" s="260"/>
      <c r="AE41" s="260"/>
      <c r="AF41" s="223">
        <f t="shared" si="17"/>
        <v>0</v>
      </c>
      <c r="AG41" s="227"/>
      <c r="AH41" s="227"/>
      <c r="AI41" s="227"/>
      <c r="AJ41" s="227"/>
      <c r="AK41" s="227"/>
      <c r="AL41" s="223">
        <f t="shared" si="18"/>
        <v>0</v>
      </c>
      <c r="AM41" s="285"/>
      <c r="AN41" s="285"/>
      <c r="AO41" s="285"/>
      <c r="AP41" s="285"/>
      <c r="AQ41" s="285"/>
      <c r="AR41" s="223">
        <f t="shared" si="19"/>
        <v>0</v>
      </c>
      <c r="AS41" s="25">
        <f t="shared" ref="AS41:AS46" si="23">SUM(N41,H41,T41,Z41,AF41,AL41,AR41)</f>
        <v>0</v>
      </c>
      <c r="AT41" s="26">
        <f t="shared" ref="AT41:AT46" si="24">COUNT(C41:G41,I41:M41,O41:S41,U41:Y41,AA41:AE41,AG41:AK41,AM41:AQ41)</f>
        <v>0</v>
      </c>
      <c r="AU41" s="266" t="str">
        <f t="shared" ref="AU41:AU46" si="25">IF(AT41=0,"",AS41/AT41)</f>
        <v/>
      </c>
    </row>
    <row r="42" spans="1:47" s="27" customFormat="1" ht="15">
      <c r="A42" s="196" t="s">
        <v>5</v>
      </c>
      <c r="B42" s="293" t="s">
        <v>166</v>
      </c>
      <c r="C42" s="31"/>
      <c r="D42" s="31"/>
      <c r="E42" s="31"/>
      <c r="F42" s="31"/>
      <c r="G42" s="31"/>
      <c r="H42" s="223">
        <f t="shared" si="13"/>
        <v>0</v>
      </c>
      <c r="I42" s="224"/>
      <c r="J42" s="224"/>
      <c r="K42" s="224"/>
      <c r="L42" s="224"/>
      <c r="M42" s="224"/>
      <c r="N42" s="223">
        <f t="shared" si="14"/>
        <v>0</v>
      </c>
      <c r="O42" s="331"/>
      <c r="P42" s="331"/>
      <c r="Q42" s="331"/>
      <c r="R42" s="331"/>
      <c r="S42" s="331"/>
      <c r="T42" s="223">
        <f t="shared" si="15"/>
        <v>0</v>
      </c>
      <c r="U42" s="260"/>
      <c r="V42" s="260"/>
      <c r="W42" s="260"/>
      <c r="X42" s="260"/>
      <c r="Y42" s="260"/>
      <c r="Z42" s="223">
        <f t="shared" si="16"/>
        <v>0</v>
      </c>
      <c r="AA42" s="260"/>
      <c r="AB42" s="260"/>
      <c r="AC42" s="260"/>
      <c r="AD42" s="260"/>
      <c r="AE42" s="260"/>
      <c r="AF42" s="223">
        <f t="shared" si="17"/>
        <v>0</v>
      </c>
      <c r="AG42" s="228"/>
      <c r="AH42" s="228"/>
      <c r="AI42" s="228"/>
      <c r="AJ42" s="228"/>
      <c r="AK42" s="228"/>
      <c r="AL42" s="223">
        <f t="shared" si="18"/>
        <v>0</v>
      </c>
      <c r="AM42" s="285"/>
      <c r="AN42" s="285"/>
      <c r="AO42" s="285"/>
      <c r="AP42" s="285"/>
      <c r="AQ42" s="285"/>
      <c r="AR42" s="223">
        <f t="shared" si="19"/>
        <v>0</v>
      </c>
      <c r="AS42" s="25">
        <f t="shared" si="23"/>
        <v>0</v>
      </c>
      <c r="AT42" s="26">
        <f t="shared" si="24"/>
        <v>0</v>
      </c>
      <c r="AU42" s="266" t="str">
        <f t="shared" si="25"/>
        <v/>
      </c>
    </row>
    <row r="43" spans="1:47" s="27" customFormat="1" ht="15">
      <c r="A43" s="196" t="s">
        <v>5</v>
      </c>
      <c r="B43" s="148" t="s">
        <v>96</v>
      </c>
      <c r="C43" s="719">
        <v>144</v>
      </c>
      <c r="D43" s="719">
        <v>99</v>
      </c>
      <c r="E43" s="719">
        <v>122</v>
      </c>
      <c r="F43" s="719">
        <v>168</v>
      </c>
      <c r="G43" s="719">
        <v>118</v>
      </c>
      <c r="H43" s="223">
        <f t="shared" si="13"/>
        <v>651</v>
      </c>
      <c r="I43" s="322"/>
      <c r="J43" s="322"/>
      <c r="K43" s="322"/>
      <c r="L43" s="322"/>
      <c r="M43" s="322"/>
      <c r="N43" s="223">
        <f t="shared" si="14"/>
        <v>0</v>
      </c>
      <c r="O43" s="331"/>
      <c r="P43" s="331"/>
      <c r="Q43" s="331"/>
      <c r="R43" s="331"/>
      <c r="S43" s="331"/>
      <c r="T43" s="223">
        <f t="shared" si="15"/>
        <v>0</v>
      </c>
      <c r="U43" s="345"/>
      <c r="V43" s="345"/>
      <c r="W43" s="345"/>
      <c r="X43" s="345"/>
      <c r="Y43" s="345"/>
      <c r="Z43" s="223">
        <f t="shared" si="16"/>
        <v>0</v>
      </c>
      <c r="AA43" s="261"/>
      <c r="AB43" s="261"/>
      <c r="AC43" s="261"/>
      <c r="AD43" s="261"/>
      <c r="AE43" s="261"/>
      <c r="AF43" s="223">
        <f t="shared" si="17"/>
        <v>0</v>
      </c>
      <c r="AG43" s="380"/>
      <c r="AH43" s="380"/>
      <c r="AI43" s="380"/>
      <c r="AJ43" s="380"/>
      <c r="AK43" s="380"/>
      <c r="AL43" s="223">
        <f t="shared" si="18"/>
        <v>0</v>
      </c>
      <c r="AM43" s="38"/>
      <c r="AN43" s="38"/>
      <c r="AO43" s="38"/>
      <c r="AP43" s="38"/>
      <c r="AQ43" s="38"/>
      <c r="AR43" s="223">
        <f t="shared" si="19"/>
        <v>0</v>
      </c>
      <c r="AS43" s="25">
        <f t="shared" si="23"/>
        <v>651</v>
      </c>
      <c r="AT43" s="26">
        <f t="shared" si="24"/>
        <v>5</v>
      </c>
      <c r="AU43" s="266">
        <f t="shared" si="25"/>
        <v>130.19999999999999</v>
      </c>
    </row>
    <row r="44" spans="1:47" s="27" customFormat="1" ht="15">
      <c r="A44" s="196" t="s">
        <v>5</v>
      </c>
      <c r="B44" s="148" t="s">
        <v>80</v>
      </c>
      <c r="C44" s="719">
        <v>175</v>
      </c>
      <c r="D44" s="719">
        <v>163</v>
      </c>
      <c r="E44" s="719">
        <v>149</v>
      </c>
      <c r="F44" s="719">
        <v>119</v>
      </c>
      <c r="G44" s="719">
        <v>143</v>
      </c>
      <c r="H44" s="223">
        <f t="shared" si="13"/>
        <v>749</v>
      </c>
      <c r="I44" s="322"/>
      <c r="J44" s="322"/>
      <c r="K44" s="322"/>
      <c r="L44" s="322"/>
      <c r="M44" s="322"/>
      <c r="N44" s="223">
        <f t="shared" si="14"/>
        <v>0</v>
      </c>
      <c r="O44" s="331"/>
      <c r="P44" s="331"/>
      <c r="Q44" s="331"/>
      <c r="R44" s="331"/>
      <c r="S44" s="331"/>
      <c r="T44" s="223">
        <f t="shared" si="15"/>
        <v>0</v>
      </c>
      <c r="U44" s="345"/>
      <c r="V44" s="345"/>
      <c r="W44" s="345"/>
      <c r="X44" s="345"/>
      <c r="Y44" s="345"/>
      <c r="Z44" s="223">
        <f t="shared" si="16"/>
        <v>0</v>
      </c>
      <c r="AA44" s="362"/>
      <c r="AB44" s="362"/>
      <c r="AC44" s="362"/>
      <c r="AD44" s="362"/>
      <c r="AE44" s="362"/>
      <c r="AF44" s="223">
        <f t="shared" si="17"/>
        <v>0</v>
      </c>
      <c r="AG44" s="380"/>
      <c r="AH44" s="380"/>
      <c r="AI44" s="380"/>
      <c r="AJ44" s="380"/>
      <c r="AK44" s="380"/>
      <c r="AL44" s="223">
        <f t="shared" si="18"/>
        <v>0</v>
      </c>
      <c r="AM44" s="402"/>
      <c r="AN44" s="403"/>
      <c r="AO44" s="403"/>
      <c r="AP44" s="403"/>
      <c r="AQ44" s="403"/>
      <c r="AR44" s="223">
        <f t="shared" si="19"/>
        <v>0</v>
      </c>
      <c r="AS44" s="25">
        <f t="shared" si="23"/>
        <v>749</v>
      </c>
      <c r="AT44" s="26">
        <f t="shared" si="24"/>
        <v>5</v>
      </c>
      <c r="AU44" s="266">
        <f t="shared" si="25"/>
        <v>149.80000000000001</v>
      </c>
    </row>
    <row r="45" spans="1:47" s="27" customFormat="1" ht="15">
      <c r="A45" s="196" t="s">
        <v>5</v>
      </c>
      <c r="B45" s="148" t="s">
        <v>79</v>
      </c>
      <c r="C45" s="719">
        <v>125</v>
      </c>
      <c r="D45" s="719">
        <v>158</v>
      </c>
      <c r="E45" s="719">
        <v>118</v>
      </c>
      <c r="F45" s="719">
        <v>183</v>
      </c>
      <c r="G45" s="719">
        <v>132</v>
      </c>
      <c r="H45" s="223">
        <f t="shared" si="13"/>
        <v>716</v>
      </c>
      <c r="I45" s="224"/>
      <c r="J45" s="224"/>
      <c r="K45" s="224"/>
      <c r="L45" s="224"/>
      <c r="M45" s="224"/>
      <c r="N45" s="223">
        <f t="shared" si="14"/>
        <v>0</v>
      </c>
      <c r="O45" s="331"/>
      <c r="P45" s="331"/>
      <c r="Q45" s="331"/>
      <c r="R45" s="331"/>
      <c r="S45" s="331"/>
      <c r="T45" s="223">
        <f t="shared" si="15"/>
        <v>0</v>
      </c>
      <c r="U45" s="345"/>
      <c r="V45" s="345"/>
      <c r="W45" s="345"/>
      <c r="X45" s="345"/>
      <c r="Y45" s="345"/>
      <c r="Z45" s="223">
        <f t="shared" si="16"/>
        <v>0</v>
      </c>
      <c r="AA45" s="362"/>
      <c r="AB45" s="362"/>
      <c r="AC45" s="362"/>
      <c r="AD45" s="362"/>
      <c r="AE45" s="362"/>
      <c r="AF45" s="223">
        <f t="shared" si="17"/>
        <v>0</v>
      </c>
      <c r="AG45" s="380"/>
      <c r="AH45" s="380"/>
      <c r="AI45" s="380"/>
      <c r="AJ45" s="380"/>
      <c r="AK45" s="380"/>
      <c r="AL45" s="223">
        <f t="shared" si="18"/>
        <v>0</v>
      </c>
      <c r="AM45" s="403"/>
      <c r="AN45" s="403"/>
      <c r="AO45" s="403"/>
      <c r="AP45" s="403"/>
      <c r="AQ45" s="403"/>
      <c r="AR45" s="223">
        <f t="shared" si="19"/>
        <v>0</v>
      </c>
      <c r="AS45" s="25">
        <f t="shared" si="23"/>
        <v>716</v>
      </c>
      <c r="AT45" s="26">
        <f t="shared" si="24"/>
        <v>5</v>
      </c>
      <c r="AU45" s="266">
        <f t="shared" si="25"/>
        <v>143.19999999999999</v>
      </c>
    </row>
    <row r="46" spans="1:47" s="27" customFormat="1" ht="15">
      <c r="A46" s="196" t="s">
        <v>5</v>
      </c>
      <c r="B46" s="148" t="s">
        <v>160</v>
      </c>
      <c r="C46" s="294"/>
      <c r="D46" s="294"/>
      <c r="E46" s="294"/>
      <c r="F46" s="294"/>
      <c r="G46" s="294"/>
      <c r="H46" s="223">
        <f t="shared" si="13"/>
        <v>0</v>
      </c>
      <c r="I46" s="224"/>
      <c r="J46" s="224"/>
      <c r="K46" s="224"/>
      <c r="L46" s="224"/>
      <c r="M46" s="224"/>
      <c r="N46" s="223">
        <f t="shared" si="14"/>
        <v>0</v>
      </c>
      <c r="O46" s="225"/>
      <c r="P46" s="225"/>
      <c r="Q46" s="225"/>
      <c r="R46" s="225"/>
      <c r="S46" s="225"/>
      <c r="T46" s="223">
        <f t="shared" si="15"/>
        <v>0</v>
      </c>
      <c r="U46" s="224"/>
      <c r="V46" s="224"/>
      <c r="W46" s="224"/>
      <c r="X46" s="224"/>
      <c r="Y46" s="224"/>
      <c r="Z46" s="223">
        <f t="shared" si="16"/>
        <v>0</v>
      </c>
      <c r="AA46" s="261"/>
      <c r="AB46" s="261"/>
      <c r="AC46" s="261"/>
      <c r="AD46" s="261"/>
      <c r="AE46" s="261"/>
      <c r="AF46" s="223">
        <f t="shared" si="17"/>
        <v>0</v>
      </c>
      <c r="AG46" s="272"/>
      <c r="AH46" s="272"/>
      <c r="AI46" s="272"/>
      <c r="AJ46" s="272"/>
      <c r="AK46" s="272"/>
      <c r="AL46" s="223">
        <f t="shared" si="18"/>
        <v>0</v>
      </c>
      <c r="AM46" s="228"/>
      <c r="AN46" s="228"/>
      <c r="AO46" s="228"/>
      <c r="AP46" s="228"/>
      <c r="AQ46" s="228"/>
      <c r="AR46" s="223">
        <f t="shared" si="19"/>
        <v>0</v>
      </c>
      <c r="AS46" s="25">
        <f t="shared" si="23"/>
        <v>0</v>
      </c>
      <c r="AT46" s="26">
        <f t="shared" si="24"/>
        <v>0</v>
      </c>
      <c r="AU46" s="266" t="str">
        <f t="shared" si="25"/>
        <v/>
      </c>
    </row>
    <row r="47" spans="1:47" s="27" customFormat="1" ht="15">
      <c r="A47" s="197"/>
      <c r="B47" s="149"/>
      <c r="C47" s="31"/>
      <c r="D47" s="31"/>
      <c r="E47" s="31"/>
      <c r="F47" s="31"/>
      <c r="G47" s="31"/>
      <c r="H47" s="223"/>
      <c r="I47" s="226"/>
      <c r="J47" s="226"/>
      <c r="K47" s="226"/>
      <c r="L47" s="226"/>
      <c r="M47" s="226"/>
      <c r="N47" s="238"/>
      <c r="O47" s="228"/>
      <c r="P47" s="228"/>
      <c r="Q47" s="228"/>
      <c r="R47" s="228"/>
      <c r="S47" s="228"/>
      <c r="T47" s="238"/>
      <c r="U47" s="232"/>
      <c r="V47" s="232"/>
      <c r="W47" s="232"/>
      <c r="X47" s="232"/>
      <c r="Y47" s="232"/>
      <c r="Z47" s="238"/>
      <c r="AA47" s="232"/>
      <c r="AB47" s="232"/>
      <c r="AC47" s="232"/>
      <c r="AD47" s="232"/>
      <c r="AE47" s="232"/>
      <c r="AF47" s="238"/>
      <c r="AG47" s="228"/>
      <c r="AH47" s="228"/>
      <c r="AI47" s="228"/>
      <c r="AJ47" s="228"/>
      <c r="AK47" s="228"/>
      <c r="AL47" s="238"/>
      <c r="AM47" s="228"/>
      <c r="AN47" s="228"/>
      <c r="AO47" s="228"/>
      <c r="AP47" s="228"/>
      <c r="AQ47" s="228"/>
      <c r="AR47" s="238"/>
      <c r="AS47" s="25"/>
      <c r="AT47" s="26"/>
      <c r="AU47" s="266"/>
    </row>
    <row r="48" spans="1:47" s="27" customFormat="1" ht="15.75" thickBot="1">
      <c r="A48" s="198"/>
      <c r="B48" s="199"/>
      <c r="C48" s="175"/>
      <c r="D48" s="175"/>
      <c r="E48" s="175"/>
      <c r="F48" s="175"/>
      <c r="G48" s="175"/>
      <c r="H48" s="176"/>
      <c r="I48" s="175"/>
      <c r="J48" s="175"/>
      <c r="K48" s="175"/>
      <c r="L48" s="175"/>
      <c r="M48" s="175"/>
      <c r="N48" s="177"/>
      <c r="O48" s="177"/>
      <c r="P48" s="177"/>
      <c r="Q48" s="177"/>
      <c r="R48" s="177"/>
      <c r="S48" s="177"/>
      <c r="T48" s="177"/>
      <c r="U48" s="178"/>
      <c r="V48" s="178"/>
      <c r="W48" s="178"/>
      <c r="X48" s="178"/>
      <c r="Y48" s="178"/>
      <c r="Z48" s="177"/>
      <c r="AA48" s="178"/>
      <c r="AB48" s="178"/>
      <c r="AC48" s="178"/>
      <c r="AD48" s="178"/>
      <c r="AE48" s="178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>
        <f>SUM(AS33:AS47)</f>
        <v>7392</v>
      </c>
      <c r="AT48" s="177">
        <f>SUM(AT33:AT47)</f>
        <v>50</v>
      </c>
      <c r="AU48" s="179">
        <f>IF(AT48=0,"",AS48/AT48)</f>
        <v>147.84</v>
      </c>
    </row>
    <row r="49" spans="1:47" s="27" customFormat="1" ht="15.75" thickBot="1">
      <c r="A49" s="200"/>
      <c r="B49" s="201"/>
      <c r="C49" s="182"/>
      <c r="D49" s="182"/>
      <c r="E49" s="182"/>
      <c r="F49" s="182"/>
      <c r="G49" s="182"/>
      <c r="H49" s="183"/>
      <c r="I49" s="182"/>
      <c r="J49" s="182"/>
      <c r="K49" s="182"/>
      <c r="L49" s="182"/>
      <c r="M49" s="182"/>
      <c r="N49" s="183"/>
      <c r="O49" s="183"/>
      <c r="P49" s="183"/>
      <c r="Q49" s="183"/>
      <c r="R49" s="183"/>
      <c r="S49" s="183"/>
      <c r="T49" s="183"/>
      <c r="U49" s="184"/>
      <c r="V49" s="184"/>
      <c r="W49" s="184"/>
      <c r="X49" s="184"/>
      <c r="Y49" s="184"/>
      <c r="Z49" s="183"/>
      <c r="AA49" s="184"/>
      <c r="AB49" s="184"/>
      <c r="AC49" s="184"/>
      <c r="AD49" s="184"/>
      <c r="AE49" s="184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5"/>
    </row>
    <row r="50" spans="1:47" s="27" customFormat="1" ht="15">
      <c r="A50" s="202" t="s">
        <v>3</v>
      </c>
      <c r="B50" s="203" t="s">
        <v>27</v>
      </c>
      <c r="C50" s="719">
        <v>132</v>
      </c>
      <c r="D50" s="719">
        <v>128</v>
      </c>
      <c r="E50" s="719">
        <v>141</v>
      </c>
      <c r="F50" s="719">
        <v>132</v>
      </c>
      <c r="G50" s="719">
        <v>148</v>
      </c>
      <c r="H50" s="222">
        <f t="shared" ref="H50:H67" si="26">SUM(C50+D50+E50+F50+G50)</f>
        <v>681</v>
      </c>
      <c r="I50" s="320"/>
      <c r="J50" s="320"/>
      <c r="K50" s="320"/>
      <c r="L50" s="320"/>
      <c r="M50" s="320"/>
      <c r="N50" s="222">
        <f t="shared" ref="N50:N65" si="27">SUM(I50+J50+K50+L50+M50)</f>
        <v>0</v>
      </c>
      <c r="O50" s="331"/>
      <c r="P50" s="331"/>
      <c r="Q50" s="331"/>
      <c r="R50" s="331"/>
      <c r="S50" s="331"/>
      <c r="T50" s="222">
        <f t="shared" ref="T50:T65" si="28">SUM(O50+P50+Q50+R50+S50)</f>
        <v>0</v>
      </c>
      <c r="U50" s="345"/>
      <c r="V50" s="345"/>
      <c r="W50" s="345"/>
      <c r="X50" s="345"/>
      <c r="Y50" s="345"/>
      <c r="Z50" s="222">
        <f t="shared" ref="Z50:Z65" si="29">SUM(U50+V50+W50+X50+Y50)</f>
        <v>0</v>
      </c>
      <c r="AA50" s="362"/>
      <c r="AB50" s="362"/>
      <c r="AC50" s="362"/>
      <c r="AD50" s="362"/>
      <c r="AE50" s="362"/>
      <c r="AF50" s="222">
        <f t="shared" ref="AF50:AF65" si="30">SUM(AA50+AB50+AC50+AD50+AE50)</f>
        <v>0</v>
      </c>
      <c r="AG50" s="381"/>
      <c r="AH50" s="381"/>
      <c r="AI50" s="381"/>
      <c r="AJ50" s="381"/>
      <c r="AK50" s="381"/>
      <c r="AL50" s="222">
        <f t="shared" ref="AL50:AL65" si="31">SUM(AG50+AH50+AI50+AJ50+AK50)</f>
        <v>0</v>
      </c>
      <c r="AM50" s="403"/>
      <c r="AN50" s="403"/>
      <c r="AO50" s="403"/>
      <c r="AP50" s="403"/>
      <c r="AQ50" s="403"/>
      <c r="AR50" s="222">
        <f t="shared" ref="AR50:AR65" si="32">SUM(AM50+AN50+AO50+AP50+AQ50)</f>
        <v>0</v>
      </c>
      <c r="AS50" s="188">
        <f t="shared" ref="AS50:AS55" si="33">SUM(N50,H50,T50,Z50,AF50,AL50,AR50)</f>
        <v>681</v>
      </c>
      <c r="AT50" s="189">
        <f t="shared" ref="AT50:AT55" si="34">COUNT(C50:G50,I50:M50,O50:S50,U50:Y50,AA50:AE50,AG50:AK50,AM50:AQ50)</f>
        <v>5</v>
      </c>
      <c r="AU50" s="267">
        <f t="shared" ref="AU50:AU57" si="35">IF(AT50=0,"",AS50/AT50)</f>
        <v>136.19999999999999</v>
      </c>
    </row>
    <row r="51" spans="1:47" s="27" customFormat="1" ht="15">
      <c r="A51" s="204" t="s">
        <v>3</v>
      </c>
      <c r="B51" s="150" t="s">
        <v>162</v>
      </c>
      <c r="C51" s="31"/>
      <c r="D51" s="31"/>
      <c r="E51" s="31"/>
      <c r="F51" s="31"/>
      <c r="G51" s="31"/>
      <c r="H51" s="223">
        <f t="shared" si="26"/>
        <v>0</v>
      </c>
      <c r="I51" s="320"/>
      <c r="J51" s="320"/>
      <c r="K51" s="320"/>
      <c r="L51" s="320"/>
      <c r="M51" s="320"/>
      <c r="N51" s="223">
        <f t="shared" si="27"/>
        <v>0</v>
      </c>
      <c r="O51" s="332"/>
      <c r="P51" s="332"/>
      <c r="Q51" s="332"/>
      <c r="R51" s="332"/>
      <c r="S51" s="332"/>
      <c r="T51" s="223">
        <f t="shared" si="28"/>
        <v>0</v>
      </c>
      <c r="U51" s="43"/>
      <c r="V51" s="31"/>
      <c r="W51" s="43"/>
      <c r="X51" s="43"/>
      <c r="Y51" s="43"/>
      <c r="Z51" s="223">
        <f t="shared" si="29"/>
        <v>0</v>
      </c>
      <c r="AA51" s="260"/>
      <c r="AB51" s="260"/>
      <c r="AC51" s="260"/>
      <c r="AD51" s="260"/>
      <c r="AE51" s="260"/>
      <c r="AF51" s="223">
        <f t="shared" si="30"/>
        <v>0</v>
      </c>
      <c r="AG51" s="228"/>
      <c r="AH51" s="228"/>
      <c r="AI51" s="228"/>
      <c r="AJ51" s="228"/>
      <c r="AK51" s="228"/>
      <c r="AL51" s="223">
        <f t="shared" si="31"/>
        <v>0</v>
      </c>
      <c r="AM51" s="38"/>
      <c r="AN51" s="38"/>
      <c r="AO51" s="38"/>
      <c r="AP51" s="38"/>
      <c r="AQ51" s="38"/>
      <c r="AR51" s="223">
        <f t="shared" si="32"/>
        <v>0</v>
      </c>
      <c r="AS51" s="25">
        <f t="shared" si="33"/>
        <v>0</v>
      </c>
      <c r="AT51" s="26">
        <f t="shared" si="34"/>
        <v>0</v>
      </c>
      <c r="AU51" s="266" t="str">
        <f t="shared" si="35"/>
        <v/>
      </c>
    </row>
    <row r="52" spans="1:47" s="27" customFormat="1" ht="15">
      <c r="A52" s="204" t="s">
        <v>3</v>
      </c>
      <c r="B52" s="150" t="s">
        <v>29</v>
      </c>
      <c r="C52" s="719">
        <v>91</v>
      </c>
      <c r="D52" s="719">
        <v>145</v>
      </c>
      <c r="E52" s="719">
        <v>110</v>
      </c>
      <c r="F52" s="719">
        <v>130</v>
      </c>
      <c r="G52" s="719">
        <v>99</v>
      </c>
      <c r="H52" s="223">
        <f t="shared" si="26"/>
        <v>575</v>
      </c>
      <c r="I52" s="320"/>
      <c r="J52" s="320"/>
      <c r="K52" s="320"/>
      <c r="L52" s="320"/>
      <c r="M52" s="320"/>
      <c r="N52" s="223">
        <f t="shared" si="27"/>
        <v>0</v>
      </c>
      <c r="O52" s="331"/>
      <c r="P52" s="331"/>
      <c r="Q52" s="331"/>
      <c r="R52" s="331"/>
      <c r="S52" s="331"/>
      <c r="T52" s="223">
        <f t="shared" si="28"/>
        <v>0</v>
      </c>
      <c r="U52" s="345"/>
      <c r="V52" s="345"/>
      <c r="W52" s="345"/>
      <c r="X52" s="345"/>
      <c r="Y52" s="345"/>
      <c r="Z52" s="223">
        <f t="shared" si="29"/>
        <v>0</v>
      </c>
      <c r="AA52" s="362"/>
      <c r="AB52" s="362"/>
      <c r="AC52" s="362"/>
      <c r="AD52" s="362"/>
      <c r="AE52" s="362"/>
      <c r="AF52" s="223">
        <f t="shared" si="30"/>
        <v>0</v>
      </c>
      <c r="AG52" s="381"/>
      <c r="AH52" s="381"/>
      <c r="AI52" s="381"/>
      <c r="AJ52" s="381"/>
      <c r="AK52" s="381"/>
      <c r="AL52" s="223">
        <f t="shared" si="31"/>
        <v>0</v>
      </c>
      <c r="AM52" s="403"/>
      <c r="AN52" s="403"/>
      <c r="AO52" s="403"/>
      <c r="AP52" s="403"/>
      <c r="AQ52" s="403"/>
      <c r="AR52" s="223">
        <f t="shared" si="32"/>
        <v>0</v>
      </c>
      <c r="AS52" s="25">
        <f t="shared" si="33"/>
        <v>575</v>
      </c>
      <c r="AT52" s="26">
        <f t="shared" si="34"/>
        <v>5</v>
      </c>
      <c r="AU52" s="266">
        <f t="shared" si="35"/>
        <v>115</v>
      </c>
    </row>
    <row r="53" spans="1:47" s="27" customFormat="1" ht="15">
      <c r="A53" s="204" t="s">
        <v>3</v>
      </c>
      <c r="B53" s="150" t="s">
        <v>65</v>
      </c>
      <c r="C53" s="719">
        <v>145</v>
      </c>
      <c r="D53" s="719">
        <v>163</v>
      </c>
      <c r="E53" s="719">
        <v>148</v>
      </c>
      <c r="F53" s="719">
        <v>160</v>
      </c>
      <c r="G53" s="719">
        <v>139</v>
      </c>
      <c r="H53" s="223">
        <f t="shared" si="26"/>
        <v>755</v>
      </c>
      <c r="I53" s="320"/>
      <c r="J53" s="320"/>
      <c r="K53" s="320"/>
      <c r="L53" s="320"/>
      <c r="M53" s="320"/>
      <c r="N53" s="223">
        <f t="shared" si="27"/>
        <v>0</v>
      </c>
      <c r="O53" s="331"/>
      <c r="P53" s="331"/>
      <c r="Q53" s="331"/>
      <c r="R53" s="331"/>
      <c r="S53" s="331"/>
      <c r="T53" s="223">
        <f t="shared" si="28"/>
        <v>0</v>
      </c>
      <c r="U53" s="43"/>
      <c r="V53" s="31"/>
      <c r="W53" s="31"/>
      <c r="X53" s="31"/>
      <c r="Y53" s="31"/>
      <c r="Z53" s="223">
        <f t="shared" si="29"/>
        <v>0</v>
      </c>
      <c r="AA53" s="262"/>
      <c r="AB53" s="262"/>
      <c r="AC53" s="262"/>
      <c r="AD53" s="262"/>
      <c r="AE53" s="262"/>
      <c r="AF53" s="223">
        <f t="shared" si="30"/>
        <v>0</v>
      </c>
      <c r="AG53" s="381"/>
      <c r="AH53" s="381"/>
      <c r="AI53" s="381"/>
      <c r="AJ53" s="381"/>
      <c r="AK53" s="381"/>
      <c r="AL53" s="223">
        <f t="shared" si="31"/>
        <v>0</v>
      </c>
      <c r="AM53" s="403"/>
      <c r="AN53" s="403"/>
      <c r="AO53" s="403"/>
      <c r="AP53" s="403"/>
      <c r="AQ53" s="403"/>
      <c r="AR53" s="223">
        <f t="shared" si="32"/>
        <v>0</v>
      </c>
      <c r="AS53" s="25">
        <f t="shared" si="33"/>
        <v>755</v>
      </c>
      <c r="AT53" s="26">
        <f t="shared" si="34"/>
        <v>5</v>
      </c>
      <c r="AU53" s="266">
        <f t="shared" si="35"/>
        <v>151</v>
      </c>
    </row>
    <row r="54" spans="1:47" s="27" customFormat="1" ht="15">
      <c r="A54" s="204" t="s">
        <v>3</v>
      </c>
      <c r="B54" s="296" t="s">
        <v>30</v>
      </c>
      <c r="C54" s="295"/>
      <c r="D54" s="295"/>
      <c r="E54" s="295"/>
      <c r="F54" s="295"/>
      <c r="G54" s="295"/>
      <c r="H54" s="223">
        <f t="shared" si="26"/>
        <v>0</v>
      </c>
      <c r="I54" s="224"/>
      <c r="J54" s="224"/>
      <c r="K54" s="224"/>
      <c r="L54" s="224"/>
      <c r="M54" s="224"/>
      <c r="N54" s="223">
        <f t="shared" si="27"/>
        <v>0</v>
      </c>
      <c r="O54" s="43"/>
      <c r="P54" s="43"/>
      <c r="Q54" s="43"/>
      <c r="R54" s="43"/>
      <c r="S54" s="43"/>
      <c r="T54" s="223">
        <f t="shared" si="28"/>
        <v>0</v>
      </c>
      <c r="U54" s="43"/>
      <c r="V54" s="31"/>
      <c r="W54" s="31"/>
      <c r="X54" s="31"/>
      <c r="Y54" s="31"/>
      <c r="Z54" s="223">
        <f t="shared" si="29"/>
        <v>0</v>
      </c>
      <c r="AA54" s="260"/>
      <c r="AB54" s="260"/>
      <c r="AC54" s="260"/>
      <c r="AD54" s="260"/>
      <c r="AE54" s="260"/>
      <c r="AF54" s="223">
        <f t="shared" si="30"/>
        <v>0</v>
      </c>
      <c r="AG54" s="272"/>
      <c r="AH54" s="272"/>
      <c r="AI54" s="272"/>
      <c r="AJ54" s="272"/>
      <c r="AK54" s="272"/>
      <c r="AL54" s="223">
        <f t="shared" si="31"/>
        <v>0</v>
      </c>
      <c r="AM54" s="38"/>
      <c r="AN54" s="38"/>
      <c r="AO54" s="38"/>
      <c r="AP54" s="38"/>
      <c r="AQ54" s="38"/>
      <c r="AR54" s="223">
        <f t="shared" si="32"/>
        <v>0</v>
      </c>
      <c r="AS54" s="25">
        <f t="shared" si="33"/>
        <v>0</v>
      </c>
      <c r="AT54" s="26">
        <f t="shared" si="34"/>
        <v>0</v>
      </c>
      <c r="AU54" s="266" t="str">
        <f t="shared" si="35"/>
        <v/>
      </c>
    </row>
    <row r="55" spans="1:47" s="27" customFormat="1" ht="15">
      <c r="A55" s="204" t="s">
        <v>3</v>
      </c>
      <c r="B55" s="151" t="s">
        <v>28</v>
      </c>
      <c r="C55" s="295"/>
      <c r="D55" s="295"/>
      <c r="E55" s="295"/>
      <c r="F55" s="295"/>
      <c r="G55" s="295"/>
      <c r="H55" s="223">
        <f t="shared" si="26"/>
        <v>0</v>
      </c>
      <c r="I55" s="224"/>
      <c r="J55" s="224"/>
      <c r="K55" s="224"/>
      <c r="L55" s="224"/>
      <c r="M55" s="224"/>
      <c r="N55" s="223">
        <f t="shared" si="27"/>
        <v>0</v>
      </c>
      <c r="O55" s="331"/>
      <c r="P55" s="331"/>
      <c r="Q55" s="331"/>
      <c r="R55" s="331"/>
      <c r="S55" s="331"/>
      <c r="T55" s="223">
        <f t="shared" si="28"/>
        <v>0</v>
      </c>
      <c r="U55" s="43"/>
      <c r="V55" s="43"/>
      <c r="W55" s="43"/>
      <c r="X55" s="43"/>
      <c r="Y55" s="43"/>
      <c r="Z55" s="223">
        <f t="shared" si="29"/>
        <v>0</v>
      </c>
      <c r="AA55" s="262"/>
      <c r="AB55" s="262"/>
      <c r="AC55" s="262"/>
      <c r="AD55" s="262"/>
      <c r="AE55" s="262"/>
      <c r="AF55" s="223">
        <f t="shared" si="30"/>
        <v>0</v>
      </c>
      <c r="AG55" s="272"/>
      <c r="AH55" s="272"/>
      <c r="AI55" s="272"/>
      <c r="AJ55" s="272"/>
      <c r="AK55" s="272"/>
      <c r="AL55" s="223">
        <f t="shared" si="31"/>
        <v>0</v>
      </c>
      <c r="AM55" s="38"/>
      <c r="AN55" s="38"/>
      <c r="AO55" s="38"/>
      <c r="AP55" s="38"/>
      <c r="AQ55" s="38"/>
      <c r="AR55" s="223">
        <f t="shared" si="32"/>
        <v>0</v>
      </c>
      <c r="AS55" s="25">
        <f t="shared" si="33"/>
        <v>0</v>
      </c>
      <c r="AT55" s="26">
        <f t="shared" si="34"/>
        <v>0</v>
      </c>
      <c r="AU55" s="266" t="str">
        <f t="shared" si="35"/>
        <v/>
      </c>
    </row>
    <row r="56" spans="1:47" s="27" customFormat="1" ht="15" customHeight="1">
      <c r="A56" s="204" t="s">
        <v>3</v>
      </c>
      <c r="B56" s="152" t="s">
        <v>67</v>
      </c>
      <c r="C56" s="719">
        <v>154</v>
      </c>
      <c r="D56" s="719">
        <v>125</v>
      </c>
      <c r="E56" s="719">
        <v>148</v>
      </c>
      <c r="F56" s="719">
        <v>138</v>
      </c>
      <c r="G56" s="719">
        <v>144</v>
      </c>
      <c r="H56" s="223">
        <f t="shared" si="26"/>
        <v>709</v>
      </c>
      <c r="I56" s="320"/>
      <c r="J56" s="320"/>
      <c r="K56" s="320"/>
      <c r="L56" s="320"/>
      <c r="M56" s="320"/>
      <c r="N56" s="223">
        <f t="shared" si="27"/>
        <v>0</v>
      </c>
      <c r="O56" s="331"/>
      <c r="P56" s="331"/>
      <c r="Q56" s="331"/>
      <c r="R56" s="331"/>
      <c r="S56" s="331"/>
      <c r="T56" s="223">
        <f t="shared" si="28"/>
        <v>0</v>
      </c>
      <c r="U56" s="345"/>
      <c r="V56" s="345"/>
      <c r="W56" s="345"/>
      <c r="X56" s="345"/>
      <c r="Y56" s="345"/>
      <c r="Z56" s="223">
        <f t="shared" si="29"/>
        <v>0</v>
      </c>
      <c r="AA56" s="362"/>
      <c r="AB56" s="362"/>
      <c r="AC56" s="362"/>
      <c r="AD56" s="362"/>
      <c r="AE56" s="362"/>
      <c r="AF56" s="223">
        <f t="shared" si="30"/>
        <v>0</v>
      </c>
      <c r="AG56" s="381"/>
      <c r="AH56" s="381"/>
      <c r="AI56" s="381"/>
      <c r="AJ56" s="381"/>
      <c r="AK56" s="381"/>
      <c r="AL56" s="223">
        <f t="shared" si="31"/>
        <v>0</v>
      </c>
      <c r="AM56" s="403"/>
      <c r="AN56" s="403"/>
      <c r="AO56" s="403"/>
      <c r="AP56" s="403"/>
      <c r="AQ56" s="403"/>
      <c r="AR56" s="223">
        <f t="shared" si="32"/>
        <v>0</v>
      </c>
      <c r="AS56" s="25">
        <f t="shared" ref="AS56:AS70" si="36">SUM(N56,H56,T56,Z56,AF56,AL56,AR56)</f>
        <v>709</v>
      </c>
      <c r="AT56" s="26">
        <f t="shared" ref="AT56:AT70" si="37">COUNT(C56:G56,I56:M56,O56:S56,U56:Y56,AA56:AE56,AG56:AK56,AM56:AQ56)</f>
        <v>5</v>
      </c>
      <c r="AU56" s="266">
        <f t="shared" si="35"/>
        <v>141.80000000000001</v>
      </c>
    </row>
    <row r="57" spans="1:47" s="27" customFormat="1" ht="15" customHeight="1">
      <c r="A57" s="204" t="s">
        <v>3</v>
      </c>
      <c r="B57" s="153" t="s">
        <v>66</v>
      </c>
      <c r="C57" s="719">
        <v>133</v>
      </c>
      <c r="D57" s="719">
        <v>159</v>
      </c>
      <c r="E57" s="719">
        <v>155</v>
      </c>
      <c r="F57" s="719">
        <v>149</v>
      </c>
      <c r="G57" s="719">
        <v>126</v>
      </c>
      <c r="H57" s="223">
        <f t="shared" si="26"/>
        <v>722</v>
      </c>
      <c r="I57" s="320"/>
      <c r="J57" s="320"/>
      <c r="K57" s="320"/>
      <c r="L57" s="320"/>
      <c r="M57" s="320"/>
      <c r="N57" s="223">
        <f t="shared" si="27"/>
        <v>0</v>
      </c>
      <c r="O57" s="331"/>
      <c r="P57" s="331"/>
      <c r="Q57" s="331"/>
      <c r="R57" s="331"/>
      <c r="S57" s="331"/>
      <c r="T57" s="223">
        <f t="shared" si="28"/>
        <v>0</v>
      </c>
      <c r="U57" s="345"/>
      <c r="V57" s="345"/>
      <c r="W57" s="345"/>
      <c r="X57" s="345"/>
      <c r="Y57" s="345"/>
      <c r="Z57" s="223">
        <f t="shared" si="29"/>
        <v>0</v>
      </c>
      <c r="AA57" s="362"/>
      <c r="AB57" s="362"/>
      <c r="AC57" s="362"/>
      <c r="AD57" s="362"/>
      <c r="AE57" s="362"/>
      <c r="AF57" s="223">
        <f t="shared" si="30"/>
        <v>0</v>
      </c>
      <c r="AG57" s="381"/>
      <c r="AH57" s="381"/>
      <c r="AI57" s="381"/>
      <c r="AJ57" s="381"/>
      <c r="AK57" s="381"/>
      <c r="AL57" s="223">
        <f t="shared" si="31"/>
        <v>0</v>
      </c>
      <c r="AM57" s="403"/>
      <c r="AN57" s="403"/>
      <c r="AO57" s="403"/>
      <c r="AP57" s="403"/>
      <c r="AQ57" s="403"/>
      <c r="AR57" s="223">
        <f t="shared" si="32"/>
        <v>0</v>
      </c>
      <c r="AS57" s="25">
        <f t="shared" si="36"/>
        <v>722</v>
      </c>
      <c r="AT57" s="26">
        <f t="shared" si="37"/>
        <v>5</v>
      </c>
      <c r="AU57" s="266">
        <f t="shared" si="35"/>
        <v>144.4</v>
      </c>
    </row>
    <row r="58" spans="1:47" s="27" customFormat="1" ht="15" customHeight="1">
      <c r="A58" s="204" t="s">
        <v>3</v>
      </c>
      <c r="B58" s="153" t="s">
        <v>77</v>
      </c>
      <c r="C58" s="294"/>
      <c r="D58" s="294"/>
      <c r="E58" s="294"/>
      <c r="F58" s="294"/>
      <c r="G58" s="294"/>
      <c r="H58" s="223">
        <f t="shared" si="26"/>
        <v>0</v>
      </c>
      <c r="I58" s="227"/>
      <c r="J58" s="227"/>
      <c r="K58" s="227"/>
      <c r="L58" s="227"/>
      <c r="M58" s="227"/>
      <c r="N58" s="223">
        <f t="shared" si="27"/>
        <v>0</v>
      </c>
      <c r="O58" s="330"/>
      <c r="P58" s="330"/>
      <c r="Q58" s="330"/>
      <c r="R58" s="330"/>
      <c r="S58" s="330"/>
      <c r="T58" s="223">
        <f t="shared" si="28"/>
        <v>0</v>
      </c>
      <c r="U58" s="345"/>
      <c r="V58" s="345"/>
      <c r="W58" s="345"/>
      <c r="X58" s="345"/>
      <c r="Y58" s="345"/>
      <c r="Z58" s="223">
        <f t="shared" si="29"/>
        <v>0</v>
      </c>
      <c r="AA58" s="261"/>
      <c r="AB58" s="261"/>
      <c r="AC58" s="261"/>
      <c r="AD58" s="261"/>
      <c r="AE58" s="261"/>
      <c r="AF58" s="223">
        <f t="shared" si="30"/>
        <v>0</v>
      </c>
      <c r="AG58" s="227"/>
      <c r="AH58" s="227"/>
      <c r="AI58" s="227"/>
      <c r="AJ58" s="227"/>
      <c r="AK58" s="227"/>
      <c r="AL58" s="223">
        <f t="shared" si="31"/>
        <v>0</v>
      </c>
      <c r="AM58" s="285"/>
      <c r="AN58" s="285"/>
      <c r="AO58" s="285"/>
      <c r="AP58" s="285"/>
      <c r="AQ58" s="285"/>
      <c r="AR58" s="223">
        <f t="shared" si="32"/>
        <v>0</v>
      </c>
      <c r="AS58" s="25">
        <f t="shared" si="36"/>
        <v>0</v>
      </c>
      <c r="AT58" s="26">
        <f t="shared" si="37"/>
        <v>0</v>
      </c>
      <c r="AU58" s="266" t="str">
        <f t="shared" ref="AU58:AU70" si="38">IF(AT58=0,"",AS58/AT58)</f>
        <v/>
      </c>
    </row>
    <row r="59" spans="1:47" s="27" customFormat="1" ht="15" customHeight="1">
      <c r="A59" s="204" t="s">
        <v>3</v>
      </c>
      <c r="B59" s="154" t="s">
        <v>98</v>
      </c>
      <c r="C59" s="43"/>
      <c r="D59" s="43"/>
      <c r="E59" s="43"/>
      <c r="F59" s="43"/>
      <c r="G59" s="46"/>
      <c r="H59" s="223">
        <f t="shared" si="26"/>
        <v>0</v>
      </c>
      <c r="I59" s="227"/>
      <c r="J59" s="227"/>
      <c r="K59" s="227"/>
      <c r="L59" s="227"/>
      <c r="M59" s="227"/>
      <c r="N59" s="223">
        <f t="shared" si="27"/>
        <v>0</v>
      </c>
      <c r="O59" s="43"/>
      <c r="P59" s="43"/>
      <c r="Q59" s="43"/>
      <c r="R59" s="43"/>
      <c r="S59" s="43"/>
      <c r="T59" s="223">
        <f t="shared" si="28"/>
        <v>0</v>
      </c>
      <c r="U59" s="38"/>
      <c r="V59" s="38"/>
      <c r="W59" s="38"/>
      <c r="X59" s="38"/>
      <c r="Y59" s="38"/>
      <c r="Z59" s="223">
        <f t="shared" si="29"/>
        <v>0</v>
      </c>
      <c r="AA59" s="30"/>
      <c r="AB59" s="30"/>
      <c r="AC59" s="30"/>
      <c r="AD59" s="30"/>
      <c r="AE59" s="30"/>
      <c r="AF59" s="223">
        <f t="shared" si="30"/>
        <v>0</v>
      </c>
      <c r="AG59" s="228"/>
      <c r="AH59" s="228"/>
      <c r="AI59" s="228"/>
      <c r="AJ59" s="228"/>
      <c r="AK59" s="228"/>
      <c r="AL59" s="223">
        <f t="shared" si="31"/>
        <v>0</v>
      </c>
      <c r="AM59" s="38"/>
      <c r="AN59" s="38"/>
      <c r="AO59" s="38"/>
      <c r="AP59" s="38"/>
      <c r="AQ59" s="38"/>
      <c r="AR59" s="223">
        <f t="shared" si="32"/>
        <v>0</v>
      </c>
      <c r="AS59" s="25">
        <f t="shared" si="36"/>
        <v>0</v>
      </c>
      <c r="AT59" s="26">
        <f t="shared" si="37"/>
        <v>0</v>
      </c>
      <c r="AU59" s="266" t="str">
        <f t="shared" si="38"/>
        <v/>
      </c>
    </row>
    <row r="60" spans="1:47" s="27" customFormat="1" ht="15" customHeight="1">
      <c r="A60" s="204" t="s">
        <v>3</v>
      </c>
      <c r="B60" s="150" t="s">
        <v>173</v>
      </c>
      <c r="C60" s="31"/>
      <c r="D60" s="31"/>
      <c r="E60" s="31"/>
      <c r="F60" s="31"/>
      <c r="G60" s="31"/>
      <c r="H60" s="223">
        <f t="shared" si="26"/>
        <v>0</v>
      </c>
      <c r="I60" s="224"/>
      <c r="J60" s="224"/>
      <c r="K60" s="224"/>
      <c r="L60" s="224"/>
      <c r="M60" s="224"/>
      <c r="N60" s="223">
        <f t="shared" si="27"/>
        <v>0</v>
      </c>
      <c r="O60" s="330"/>
      <c r="P60" s="330"/>
      <c r="Q60" s="330"/>
      <c r="R60" s="330"/>
      <c r="S60" s="330"/>
      <c r="T60" s="223">
        <f t="shared" si="28"/>
        <v>0</v>
      </c>
      <c r="U60" s="43"/>
      <c r="V60" s="31"/>
      <c r="W60" s="31"/>
      <c r="X60" s="31"/>
      <c r="Y60" s="31"/>
      <c r="Z60" s="223">
        <f t="shared" si="29"/>
        <v>0</v>
      </c>
      <c r="AA60" s="262"/>
      <c r="AB60" s="262"/>
      <c r="AC60" s="262"/>
      <c r="AD60" s="262"/>
      <c r="AE60" s="262"/>
      <c r="AF60" s="223">
        <f t="shared" si="30"/>
        <v>0</v>
      </c>
      <c r="AG60" s="381"/>
      <c r="AH60" s="381"/>
      <c r="AI60" s="381"/>
      <c r="AJ60" s="381"/>
      <c r="AK60" s="381"/>
      <c r="AL60" s="223">
        <f t="shared" si="31"/>
        <v>0</v>
      </c>
      <c r="AM60" s="403"/>
      <c r="AN60" s="403"/>
      <c r="AO60" s="403"/>
      <c r="AP60" s="403"/>
      <c r="AQ60" s="403"/>
      <c r="AR60" s="223">
        <f t="shared" si="32"/>
        <v>0</v>
      </c>
      <c r="AS60" s="25">
        <f t="shared" si="36"/>
        <v>0</v>
      </c>
      <c r="AT60" s="26">
        <f t="shared" si="37"/>
        <v>0</v>
      </c>
      <c r="AU60" s="266" t="str">
        <f t="shared" si="38"/>
        <v/>
      </c>
    </row>
    <row r="61" spans="1:47" s="27" customFormat="1" ht="15" customHeight="1">
      <c r="A61" s="204" t="s">
        <v>3</v>
      </c>
      <c r="B61" s="154" t="s">
        <v>158</v>
      </c>
      <c r="C61" s="43"/>
      <c r="D61" s="43"/>
      <c r="E61" s="43"/>
      <c r="F61" s="43"/>
      <c r="G61" s="43"/>
      <c r="H61" s="223">
        <f t="shared" si="26"/>
        <v>0</v>
      </c>
      <c r="I61" s="227"/>
      <c r="J61" s="227"/>
      <c r="K61" s="227"/>
      <c r="L61" s="227"/>
      <c r="M61" s="227"/>
      <c r="N61" s="223">
        <f t="shared" si="27"/>
        <v>0</v>
      </c>
      <c r="O61" s="333"/>
      <c r="P61" s="333"/>
      <c r="Q61" s="333"/>
      <c r="R61" s="333"/>
      <c r="S61" s="333"/>
      <c r="T61" s="223">
        <f t="shared" si="28"/>
        <v>0</v>
      </c>
      <c r="U61" s="31"/>
      <c r="V61" s="31"/>
      <c r="W61" s="31"/>
      <c r="X61" s="31"/>
      <c r="Y61" s="31"/>
      <c r="Z61" s="223">
        <f t="shared" si="29"/>
        <v>0</v>
      </c>
      <c r="AA61" s="261"/>
      <c r="AB61" s="261"/>
      <c r="AC61" s="261"/>
      <c r="AD61" s="261"/>
      <c r="AE61" s="261"/>
      <c r="AF61" s="223">
        <f t="shared" si="30"/>
        <v>0</v>
      </c>
      <c r="AG61" s="228"/>
      <c r="AH61" s="228"/>
      <c r="AI61" s="228"/>
      <c r="AJ61" s="228"/>
      <c r="AK61" s="228"/>
      <c r="AL61" s="223">
        <f t="shared" si="31"/>
        <v>0</v>
      </c>
      <c r="AM61" s="285"/>
      <c r="AN61" s="285"/>
      <c r="AO61" s="285"/>
      <c r="AP61" s="285"/>
      <c r="AQ61" s="285"/>
      <c r="AR61" s="223">
        <f t="shared" si="32"/>
        <v>0</v>
      </c>
      <c r="AS61" s="25">
        <f t="shared" si="36"/>
        <v>0</v>
      </c>
      <c r="AT61" s="26">
        <f t="shared" si="37"/>
        <v>0</v>
      </c>
      <c r="AU61" s="266" t="str">
        <f t="shared" si="38"/>
        <v/>
      </c>
    </row>
    <row r="62" spans="1:47" s="27" customFormat="1" ht="15" customHeight="1">
      <c r="A62" s="204" t="s">
        <v>3</v>
      </c>
      <c r="B62" s="154" t="s">
        <v>90</v>
      </c>
      <c r="C62" s="719">
        <v>122</v>
      </c>
      <c r="D62" s="719">
        <v>146</v>
      </c>
      <c r="E62" s="719">
        <v>148</v>
      </c>
      <c r="F62" s="719">
        <v>141</v>
      </c>
      <c r="G62" s="719">
        <v>127</v>
      </c>
      <c r="H62" s="223">
        <f t="shared" si="26"/>
        <v>684</v>
      </c>
      <c r="I62" s="320"/>
      <c r="J62" s="320"/>
      <c r="K62" s="320"/>
      <c r="L62" s="320"/>
      <c r="M62" s="320"/>
      <c r="N62" s="223">
        <f t="shared" si="27"/>
        <v>0</v>
      </c>
      <c r="O62" s="333"/>
      <c r="P62" s="333"/>
      <c r="Q62" s="333"/>
      <c r="R62" s="333"/>
      <c r="S62" s="333"/>
      <c r="T62" s="223">
        <f t="shared" si="28"/>
        <v>0</v>
      </c>
      <c r="U62" s="31"/>
      <c r="V62" s="31"/>
      <c r="W62" s="31"/>
      <c r="X62" s="31"/>
      <c r="Y62" s="31"/>
      <c r="Z62" s="223">
        <f t="shared" si="29"/>
        <v>0</v>
      </c>
      <c r="AA62" s="43"/>
      <c r="AB62" s="43"/>
      <c r="AC62" s="43"/>
      <c r="AD62" s="43"/>
      <c r="AE62" s="43"/>
      <c r="AF62" s="223">
        <f t="shared" si="30"/>
        <v>0</v>
      </c>
      <c r="AG62" s="381"/>
      <c r="AH62" s="381"/>
      <c r="AI62" s="381"/>
      <c r="AJ62" s="381"/>
      <c r="AK62" s="381"/>
      <c r="AL62" s="223">
        <f t="shared" si="31"/>
        <v>0</v>
      </c>
      <c r="AM62" s="403"/>
      <c r="AN62" s="403"/>
      <c r="AO62" s="403"/>
      <c r="AP62" s="403"/>
      <c r="AQ62" s="403"/>
      <c r="AR62" s="223">
        <f t="shared" si="32"/>
        <v>0</v>
      </c>
      <c r="AS62" s="25">
        <f t="shared" si="36"/>
        <v>684</v>
      </c>
      <c r="AT62" s="26">
        <f t="shared" si="37"/>
        <v>5</v>
      </c>
      <c r="AU62" s="266">
        <f t="shared" si="38"/>
        <v>136.80000000000001</v>
      </c>
    </row>
    <row r="63" spans="1:47" s="27" customFormat="1" ht="15" customHeight="1">
      <c r="A63" s="204" t="s">
        <v>3</v>
      </c>
      <c r="B63" s="154" t="s">
        <v>168</v>
      </c>
      <c r="C63" s="43"/>
      <c r="D63" s="43"/>
      <c r="E63" s="43"/>
      <c r="F63" s="43"/>
      <c r="G63" s="43"/>
      <c r="H63" s="223">
        <f t="shared" si="26"/>
        <v>0</v>
      </c>
      <c r="I63" s="227"/>
      <c r="J63" s="227"/>
      <c r="K63" s="227"/>
      <c r="L63" s="227"/>
      <c r="M63" s="227"/>
      <c r="N63" s="223">
        <f t="shared" si="27"/>
        <v>0</v>
      </c>
      <c r="O63" s="331"/>
      <c r="P63" s="331"/>
      <c r="Q63" s="331"/>
      <c r="R63" s="331"/>
      <c r="S63" s="331"/>
      <c r="T63" s="223">
        <f t="shared" si="28"/>
        <v>0</v>
      </c>
      <c r="U63" s="43"/>
      <c r="V63" s="43"/>
      <c r="W63" s="43"/>
      <c r="X63" s="43"/>
      <c r="Y63" s="43"/>
      <c r="Z63" s="223">
        <f t="shared" si="29"/>
        <v>0</v>
      </c>
      <c r="AA63" s="262"/>
      <c r="AB63" s="262"/>
      <c r="AC63" s="262"/>
      <c r="AD63" s="262"/>
      <c r="AE63" s="262"/>
      <c r="AF63" s="223">
        <f t="shared" si="30"/>
        <v>0</v>
      </c>
      <c r="AG63" s="381"/>
      <c r="AH63" s="381"/>
      <c r="AI63" s="381"/>
      <c r="AJ63" s="381"/>
      <c r="AK63" s="381"/>
      <c r="AL63" s="223">
        <f t="shared" si="31"/>
        <v>0</v>
      </c>
      <c r="AM63" s="403"/>
      <c r="AN63" s="403"/>
      <c r="AO63" s="403"/>
      <c r="AP63" s="403"/>
      <c r="AQ63" s="403"/>
      <c r="AR63" s="223">
        <f t="shared" si="32"/>
        <v>0</v>
      </c>
      <c r="AS63" s="25">
        <f t="shared" si="36"/>
        <v>0</v>
      </c>
      <c r="AT63" s="26">
        <f t="shared" si="37"/>
        <v>0</v>
      </c>
      <c r="AU63" s="266" t="str">
        <f t="shared" si="38"/>
        <v/>
      </c>
    </row>
    <row r="64" spans="1:47" s="27" customFormat="1" ht="15" customHeight="1">
      <c r="A64" s="204" t="s">
        <v>3</v>
      </c>
      <c r="B64" s="154" t="s">
        <v>92</v>
      </c>
      <c r="C64" s="294"/>
      <c r="D64" s="294"/>
      <c r="E64" s="294"/>
      <c r="F64" s="294"/>
      <c r="G64" s="294"/>
      <c r="H64" s="223">
        <f t="shared" si="26"/>
        <v>0</v>
      </c>
      <c r="I64" s="320"/>
      <c r="J64" s="320"/>
      <c r="K64" s="320"/>
      <c r="L64" s="320"/>
      <c r="M64" s="320"/>
      <c r="N64" s="223">
        <f t="shared" si="27"/>
        <v>0</v>
      </c>
      <c r="O64" s="331"/>
      <c r="P64" s="331"/>
      <c r="Q64" s="331"/>
      <c r="R64" s="331"/>
      <c r="S64" s="331"/>
      <c r="T64" s="223">
        <f t="shared" si="28"/>
        <v>0</v>
      </c>
      <c r="U64" s="43"/>
      <c r="V64" s="43"/>
      <c r="W64" s="43"/>
      <c r="X64" s="43"/>
      <c r="Y64" s="43"/>
      <c r="Z64" s="223">
        <f t="shared" si="29"/>
        <v>0</v>
      </c>
      <c r="AA64" s="362"/>
      <c r="AB64" s="362"/>
      <c r="AC64" s="362"/>
      <c r="AD64" s="362"/>
      <c r="AE64" s="362"/>
      <c r="AF64" s="223">
        <f t="shared" si="30"/>
        <v>0</v>
      </c>
      <c r="AG64" s="381"/>
      <c r="AH64" s="381"/>
      <c r="AI64" s="381"/>
      <c r="AJ64" s="381"/>
      <c r="AK64" s="381"/>
      <c r="AL64" s="223">
        <f t="shared" si="31"/>
        <v>0</v>
      </c>
      <c r="AM64" s="38"/>
      <c r="AN64" s="38"/>
      <c r="AO64" s="38"/>
      <c r="AP64" s="38"/>
      <c r="AQ64" s="38"/>
      <c r="AR64" s="223">
        <f t="shared" si="32"/>
        <v>0</v>
      </c>
      <c r="AS64" s="25">
        <f t="shared" si="36"/>
        <v>0</v>
      </c>
      <c r="AT64" s="26">
        <f t="shared" si="37"/>
        <v>0</v>
      </c>
      <c r="AU64" s="266" t="str">
        <f t="shared" si="38"/>
        <v/>
      </c>
    </row>
    <row r="65" spans="1:47" s="27" customFormat="1" ht="15" customHeight="1">
      <c r="A65" s="204" t="s">
        <v>3</v>
      </c>
      <c r="B65" s="154" t="s">
        <v>143</v>
      </c>
      <c r="C65" s="43"/>
      <c r="D65" s="43"/>
      <c r="E65" s="43"/>
      <c r="F65" s="43"/>
      <c r="G65" s="43"/>
      <c r="H65" s="223">
        <f t="shared" si="26"/>
        <v>0</v>
      </c>
      <c r="I65" s="227"/>
      <c r="J65" s="227"/>
      <c r="K65" s="227"/>
      <c r="L65" s="227"/>
      <c r="M65" s="227"/>
      <c r="N65" s="223">
        <f t="shared" si="27"/>
        <v>0</v>
      </c>
      <c r="O65" s="330"/>
      <c r="P65" s="330"/>
      <c r="Q65" s="330"/>
      <c r="R65" s="330"/>
      <c r="S65" s="330"/>
      <c r="T65" s="223">
        <f t="shared" si="28"/>
        <v>0</v>
      </c>
      <c r="U65" s="345"/>
      <c r="V65" s="345"/>
      <c r="W65" s="345"/>
      <c r="X65" s="345"/>
      <c r="Y65" s="345"/>
      <c r="Z65" s="223">
        <f t="shared" si="29"/>
        <v>0</v>
      </c>
      <c r="AA65" s="362"/>
      <c r="AB65" s="362"/>
      <c r="AC65" s="362"/>
      <c r="AD65" s="362"/>
      <c r="AE65" s="362"/>
      <c r="AF65" s="223">
        <f t="shared" si="30"/>
        <v>0</v>
      </c>
      <c r="AG65" s="228"/>
      <c r="AH65" s="228"/>
      <c r="AI65" s="228"/>
      <c r="AJ65" s="228"/>
      <c r="AK65" s="228"/>
      <c r="AL65" s="223">
        <f t="shared" si="31"/>
        <v>0</v>
      </c>
      <c r="AM65" s="285"/>
      <c r="AN65" s="285"/>
      <c r="AO65" s="285"/>
      <c r="AP65" s="285"/>
      <c r="AQ65" s="285"/>
      <c r="AR65" s="223">
        <f t="shared" si="32"/>
        <v>0</v>
      </c>
      <c r="AS65" s="25">
        <f t="shared" si="36"/>
        <v>0</v>
      </c>
      <c r="AT65" s="26">
        <f t="shared" si="37"/>
        <v>0</v>
      </c>
      <c r="AU65" s="266" t="str">
        <f t="shared" si="38"/>
        <v/>
      </c>
    </row>
    <row r="66" spans="1:47" s="27" customFormat="1" ht="15" customHeight="1">
      <c r="A66" s="204" t="s">
        <v>3</v>
      </c>
      <c r="B66" s="154" t="s">
        <v>170</v>
      </c>
      <c r="C66" s="719">
        <v>93</v>
      </c>
      <c r="D66" s="719">
        <v>99</v>
      </c>
      <c r="E66" s="719">
        <v>90</v>
      </c>
      <c r="F66" s="719">
        <v>87</v>
      </c>
      <c r="G66" s="719">
        <v>123</v>
      </c>
      <c r="H66" s="223">
        <f t="shared" si="26"/>
        <v>492</v>
      </c>
      <c r="I66" s="224"/>
      <c r="J66" s="224"/>
      <c r="K66" s="224"/>
      <c r="L66" s="224"/>
      <c r="M66" s="224"/>
      <c r="N66" s="223">
        <f t="shared" ref="N66:N72" si="39">SUM(I66+J66+K66+L66+M66)</f>
        <v>0</v>
      </c>
      <c r="O66" s="330"/>
      <c r="P66" s="330"/>
      <c r="Q66" s="330"/>
      <c r="R66" s="330"/>
      <c r="S66" s="330"/>
      <c r="T66" s="223">
        <f t="shared" ref="T66:T72" si="40">SUM(O66+P66+Q66+R66+S66)</f>
        <v>0</v>
      </c>
      <c r="U66" s="345"/>
      <c r="V66" s="345"/>
      <c r="W66" s="345"/>
      <c r="X66" s="345"/>
      <c r="Y66" s="345"/>
      <c r="Z66" s="223">
        <f t="shared" ref="Z66:Z72" si="41">SUM(U66+V66+W66+X66+Y66)</f>
        <v>0</v>
      </c>
      <c r="AA66" s="362"/>
      <c r="AB66" s="362"/>
      <c r="AC66" s="362"/>
      <c r="AD66" s="362"/>
      <c r="AE66" s="362"/>
      <c r="AF66" s="223">
        <f t="shared" ref="AF66:AF72" si="42">SUM(AA66+AB66+AC66+AD66+AE66)</f>
        <v>0</v>
      </c>
      <c r="AG66" s="228"/>
      <c r="AH66" s="228"/>
      <c r="AI66" s="228"/>
      <c r="AJ66" s="228"/>
      <c r="AK66" s="228"/>
      <c r="AL66" s="223">
        <f t="shared" ref="AL66:AL72" si="43">SUM(AG66+AH66+AI66+AJ66+AK66)</f>
        <v>0</v>
      </c>
      <c r="AM66" s="285"/>
      <c r="AN66" s="285"/>
      <c r="AO66" s="285"/>
      <c r="AP66" s="285"/>
      <c r="AQ66" s="285"/>
      <c r="AR66" s="223">
        <f t="shared" ref="AR66:AR72" si="44">SUM(AM66+AN66+AO66+AP66+AQ66)</f>
        <v>0</v>
      </c>
      <c r="AS66" s="25">
        <f t="shared" si="36"/>
        <v>492</v>
      </c>
      <c r="AT66" s="26">
        <f t="shared" si="37"/>
        <v>5</v>
      </c>
      <c r="AU66" s="266">
        <f t="shared" si="38"/>
        <v>98.4</v>
      </c>
    </row>
    <row r="67" spans="1:47" s="27" customFormat="1" ht="15" customHeight="1">
      <c r="A67" s="204" t="s">
        <v>3</v>
      </c>
      <c r="B67" s="154" t="s">
        <v>171</v>
      </c>
      <c r="C67" s="295"/>
      <c r="D67" s="295"/>
      <c r="E67" s="295"/>
      <c r="F67" s="295"/>
      <c r="G67" s="295"/>
      <c r="H67" s="223">
        <f t="shared" si="26"/>
        <v>0</v>
      </c>
      <c r="I67" s="227"/>
      <c r="J67" s="227"/>
      <c r="K67" s="227"/>
      <c r="L67" s="227"/>
      <c r="M67" s="227"/>
      <c r="N67" s="223">
        <f t="shared" si="39"/>
        <v>0</v>
      </c>
      <c r="O67" s="38"/>
      <c r="P67" s="38"/>
      <c r="Q67" s="38"/>
      <c r="R67" s="38"/>
      <c r="S67" s="38"/>
      <c r="T67" s="223">
        <f t="shared" si="40"/>
        <v>0</v>
      </c>
      <c r="U67" s="31"/>
      <c r="V67" s="31"/>
      <c r="W67" s="31"/>
      <c r="X67" s="31"/>
      <c r="Y67" s="31"/>
      <c r="Z67" s="223">
        <f t="shared" si="41"/>
        <v>0</v>
      </c>
      <c r="AA67" s="362"/>
      <c r="AB67" s="362"/>
      <c r="AC67" s="362"/>
      <c r="AD67" s="362"/>
      <c r="AE67" s="362"/>
      <c r="AF67" s="223">
        <f t="shared" si="42"/>
        <v>0</v>
      </c>
      <c r="AG67" s="228"/>
      <c r="AH67" s="228"/>
      <c r="AI67" s="228"/>
      <c r="AJ67" s="228"/>
      <c r="AK67" s="228"/>
      <c r="AL67" s="223">
        <f t="shared" si="43"/>
        <v>0</v>
      </c>
      <c r="AM67" s="285"/>
      <c r="AN67" s="285"/>
      <c r="AO67" s="285"/>
      <c r="AP67" s="285"/>
      <c r="AQ67" s="285"/>
      <c r="AR67" s="223">
        <f t="shared" si="44"/>
        <v>0</v>
      </c>
      <c r="AS67" s="25">
        <f>SUM(N67,H67,T67,Z67,AF67,AL67,AR67)</f>
        <v>0</v>
      </c>
      <c r="AT67" s="26">
        <f>COUNT(C67:G67,I67:M67,O67:S67,U67:Y67,AA67:AE67,AG67:AK67,AM67:AQ67)</f>
        <v>0</v>
      </c>
      <c r="AU67" s="266" t="str">
        <f>IF(AT67=0,"",AS67/AT67)</f>
        <v/>
      </c>
    </row>
    <row r="68" spans="1:47" s="27" customFormat="1" ht="15" customHeight="1">
      <c r="A68" s="204" t="s">
        <v>3</v>
      </c>
      <c r="B68" s="154" t="s">
        <v>164</v>
      </c>
      <c r="C68" s="294"/>
      <c r="D68" s="294"/>
      <c r="E68" s="294"/>
      <c r="F68" s="294"/>
      <c r="G68" s="294"/>
      <c r="H68" s="223">
        <f>SUM(C68+D68+E68+F68+G68)</f>
        <v>0</v>
      </c>
      <c r="I68" s="227"/>
      <c r="J68" s="227"/>
      <c r="K68" s="227"/>
      <c r="L68" s="227"/>
      <c r="M68" s="227"/>
      <c r="N68" s="223">
        <f t="shared" si="39"/>
        <v>0</v>
      </c>
      <c r="O68" s="38"/>
      <c r="P68" s="38"/>
      <c r="Q68" s="38"/>
      <c r="R68" s="38"/>
      <c r="S68" s="38"/>
      <c r="T68" s="223">
        <f t="shared" si="40"/>
        <v>0</v>
      </c>
      <c r="U68" s="345"/>
      <c r="V68" s="345"/>
      <c r="W68" s="345"/>
      <c r="X68" s="345"/>
      <c r="Y68" s="345"/>
      <c r="Z68" s="223">
        <f t="shared" si="41"/>
        <v>0</v>
      </c>
      <c r="AA68" s="261"/>
      <c r="AB68" s="261"/>
      <c r="AC68" s="261"/>
      <c r="AD68" s="261"/>
      <c r="AE68" s="261"/>
      <c r="AF68" s="223">
        <f t="shared" si="42"/>
        <v>0</v>
      </c>
      <c r="AG68" s="381"/>
      <c r="AH68" s="381"/>
      <c r="AI68" s="381"/>
      <c r="AJ68" s="381"/>
      <c r="AK68" s="381"/>
      <c r="AL68" s="223">
        <f t="shared" si="43"/>
        <v>0</v>
      </c>
      <c r="AM68" s="285"/>
      <c r="AN68" s="285"/>
      <c r="AO68" s="285"/>
      <c r="AP68" s="285"/>
      <c r="AQ68" s="285"/>
      <c r="AR68" s="223">
        <f t="shared" si="44"/>
        <v>0</v>
      </c>
      <c r="AS68" s="25">
        <f t="shared" si="36"/>
        <v>0</v>
      </c>
      <c r="AT68" s="26">
        <f t="shared" si="37"/>
        <v>0</v>
      </c>
      <c r="AU68" s="266" t="str">
        <f t="shared" si="38"/>
        <v/>
      </c>
    </row>
    <row r="69" spans="1:47" s="27" customFormat="1" ht="15" customHeight="1">
      <c r="A69" s="204" t="s">
        <v>3</v>
      </c>
      <c r="B69" s="154" t="s">
        <v>112</v>
      </c>
      <c r="C69" s="719">
        <v>128</v>
      </c>
      <c r="D69" s="719">
        <v>171</v>
      </c>
      <c r="E69" s="719">
        <v>134</v>
      </c>
      <c r="F69" s="719">
        <v>176</v>
      </c>
      <c r="G69" s="719">
        <v>217</v>
      </c>
      <c r="H69" s="223">
        <f>SUM(C69+D69+E69+F69+G69)</f>
        <v>826</v>
      </c>
      <c r="I69" s="224"/>
      <c r="J69" s="224"/>
      <c r="K69" s="224"/>
      <c r="L69" s="224"/>
      <c r="M69" s="224"/>
      <c r="N69" s="223">
        <f t="shared" si="39"/>
        <v>0</v>
      </c>
      <c r="O69" s="38"/>
      <c r="P69" s="38"/>
      <c r="Q69" s="38"/>
      <c r="R69" s="38"/>
      <c r="S69" s="38"/>
      <c r="T69" s="223">
        <f t="shared" si="40"/>
        <v>0</v>
      </c>
      <c r="U69" s="345"/>
      <c r="V69" s="345"/>
      <c r="W69" s="345"/>
      <c r="X69" s="345"/>
      <c r="Y69" s="345"/>
      <c r="Z69" s="223">
        <f t="shared" si="41"/>
        <v>0</v>
      </c>
      <c r="AA69" s="260"/>
      <c r="AB69" s="260"/>
      <c r="AC69" s="260"/>
      <c r="AD69" s="260"/>
      <c r="AE69" s="260"/>
      <c r="AF69" s="223">
        <f t="shared" si="42"/>
        <v>0</v>
      </c>
      <c r="AG69" s="272"/>
      <c r="AH69" s="272"/>
      <c r="AI69" s="272"/>
      <c r="AJ69" s="272"/>
      <c r="AK69" s="272"/>
      <c r="AL69" s="223">
        <f t="shared" si="43"/>
        <v>0</v>
      </c>
      <c r="AM69" s="403"/>
      <c r="AN69" s="403"/>
      <c r="AO69" s="403"/>
      <c r="AP69" s="403"/>
      <c r="AQ69" s="403"/>
      <c r="AR69" s="223">
        <f t="shared" si="44"/>
        <v>0</v>
      </c>
      <c r="AS69" s="25">
        <f t="shared" si="36"/>
        <v>826</v>
      </c>
      <c r="AT69" s="26">
        <f t="shared" si="37"/>
        <v>5</v>
      </c>
      <c r="AU69" s="266">
        <f t="shared" si="38"/>
        <v>165.2</v>
      </c>
    </row>
    <row r="70" spans="1:47" s="27" customFormat="1" ht="15" customHeight="1">
      <c r="A70" s="204" t="s">
        <v>3</v>
      </c>
      <c r="B70" s="154" t="s">
        <v>117</v>
      </c>
      <c r="C70" s="719">
        <v>145</v>
      </c>
      <c r="D70" s="719">
        <v>129</v>
      </c>
      <c r="E70" s="719">
        <v>167</v>
      </c>
      <c r="F70" s="719">
        <v>165</v>
      </c>
      <c r="G70" s="719">
        <v>170</v>
      </c>
      <c r="H70" s="223">
        <f>SUM(C70+D70+E70+F70+G70)</f>
        <v>776</v>
      </c>
      <c r="I70" s="320"/>
      <c r="J70" s="320"/>
      <c r="K70" s="320"/>
      <c r="L70" s="320"/>
      <c r="M70" s="320"/>
      <c r="N70" s="223">
        <f t="shared" si="39"/>
        <v>0</v>
      </c>
      <c r="O70" s="331"/>
      <c r="P70" s="331"/>
      <c r="Q70" s="331"/>
      <c r="R70" s="331"/>
      <c r="S70" s="331"/>
      <c r="T70" s="223">
        <f t="shared" si="40"/>
        <v>0</v>
      </c>
      <c r="U70" s="345"/>
      <c r="V70" s="345"/>
      <c r="W70" s="345"/>
      <c r="X70" s="345"/>
      <c r="Y70" s="345"/>
      <c r="Z70" s="223">
        <f t="shared" si="41"/>
        <v>0</v>
      </c>
      <c r="AA70" s="362"/>
      <c r="AB70" s="362"/>
      <c r="AC70" s="362"/>
      <c r="AD70" s="362"/>
      <c r="AE70" s="362"/>
      <c r="AF70" s="223">
        <f t="shared" si="42"/>
        <v>0</v>
      </c>
      <c r="AG70" s="272"/>
      <c r="AH70" s="272"/>
      <c r="AI70" s="272"/>
      <c r="AJ70" s="272"/>
      <c r="AK70" s="272"/>
      <c r="AL70" s="223">
        <f t="shared" si="43"/>
        <v>0</v>
      </c>
      <c r="AM70" s="403"/>
      <c r="AN70" s="403"/>
      <c r="AO70" s="403"/>
      <c r="AP70" s="403"/>
      <c r="AQ70" s="403"/>
      <c r="AR70" s="223">
        <f t="shared" si="44"/>
        <v>0</v>
      </c>
      <c r="AS70" s="25">
        <f t="shared" si="36"/>
        <v>776</v>
      </c>
      <c r="AT70" s="26">
        <f t="shared" si="37"/>
        <v>5</v>
      </c>
      <c r="AU70" s="266">
        <f t="shared" si="38"/>
        <v>155.19999999999999</v>
      </c>
    </row>
    <row r="71" spans="1:47" s="27" customFormat="1" ht="15" customHeight="1">
      <c r="A71" s="204" t="s">
        <v>3</v>
      </c>
      <c r="B71" s="154" t="s">
        <v>219</v>
      </c>
      <c r="C71" s="719">
        <v>139</v>
      </c>
      <c r="D71" s="719">
        <v>94</v>
      </c>
      <c r="E71" s="719">
        <v>113</v>
      </c>
      <c r="F71" s="719">
        <v>97</v>
      </c>
      <c r="G71" s="719">
        <v>144</v>
      </c>
      <c r="H71" s="223">
        <f>SUM(C71+D71+E71+F71+G71)</f>
        <v>587</v>
      </c>
      <c r="I71" s="227"/>
      <c r="J71" s="227"/>
      <c r="K71" s="227"/>
      <c r="L71" s="227"/>
      <c r="M71" s="227"/>
      <c r="N71" s="223">
        <f t="shared" si="39"/>
        <v>0</v>
      </c>
      <c r="O71" s="38"/>
      <c r="P71" s="38"/>
      <c r="Q71" s="38"/>
      <c r="R71" s="38"/>
      <c r="S71" s="38"/>
      <c r="T71" s="223">
        <f t="shared" si="40"/>
        <v>0</v>
      </c>
      <c r="U71" s="224"/>
      <c r="V71" s="224"/>
      <c r="W71" s="224"/>
      <c r="X71" s="224"/>
      <c r="Y71" s="224"/>
      <c r="Z71" s="223">
        <f t="shared" si="41"/>
        <v>0</v>
      </c>
      <c r="AA71" s="362"/>
      <c r="AB71" s="362"/>
      <c r="AC71" s="362"/>
      <c r="AD71" s="362"/>
      <c r="AE71" s="362"/>
      <c r="AF71" s="223">
        <f t="shared" si="42"/>
        <v>0</v>
      </c>
      <c r="AG71" s="227"/>
      <c r="AH71" s="227"/>
      <c r="AI71" s="227"/>
      <c r="AJ71" s="227"/>
      <c r="AK71" s="227"/>
      <c r="AL71" s="223">
        <f t="shared" si="43"/>
        <v>0</v>
      </c>
      <c r="AM71" s="285"/>
      <c r="AN71" s="285"/>
      <c r="AO71" s="285"/>
      <c r="AP71" s="285"/>
      <c r="AQ71" s="285"/>
      <c r="AR71" s="223">
        <f t="shared" si="44"/>
        <v>0</v>
      </c>
      <c r="AS71" s="25">
        <f>SUM(N71,H71,T71,Z71,AF71,AL71,AR71)</f>
        <v>587</v>
      </c>
      <c r="AT71" s="26">
        <f>COUNT(C71:G71,I71:M71,O71:S71,U71:Y71,AA71:AE71,AG71:AK71,AM71:AQ71)</f>
        <v>5</v>
      </c>
      <c r="AU71" s="266">
        <f>IF(AT71=0,"",AS71/AT71)</f>
        <v>117.4</v>
      </c>
    </row>
    <row r="72" spans="1:47" s="27" customFormat="1" ht="15" customHeight="1">
      <c r="A72" s="204" t="s">
        <v>3</v>
      </c>
      <c r="B72" s="154" t="s">
        <v>145</v>
      </c>
      <c r="C72" s="38"/>
      <c r="D72" s="38"/>
      <c r="E72" s="38"/>
      <c r="F72" s="38"/>
      <c r="G72" s="38"/>
      <c r="H72" s="223">
        <f>SUM(C72+D72+E72+F72+G72)</f>
        <v>0</v>
      </c>
      <c r="I72" s="320"/>
      <c r="J72" s="320"/>
      <c r="K72" s="320"/>
      <c r="L72" s="320"/>
      <c r="M72" s="320"/>
      <c r="N72" s="223">
        <f t="shared" si="39"/>
        <v>0</v>
      </c>
      <c r="O72" s="331"/>
      <c r="P72" s="331"/>
      <c r="Q72" s="331"/>
      <c r="R72" s="331"/>
      <c r="S72" s="331"/>
      <c r="T72" s="223">
        <f t="shared" si="40"/>
        <v>0</v>
      </c>
      <c r="U72" s="224"/>
      <c r="V72" s="224"/>
      <c r="W72" s="224"/>
      <c r="X72" s="224"/>
      <c r="Y72" s="224"/>
      <c r="Z72" s="223">
        <f t="shared" si="41"/>
        <v>0</v>
      </c>
      <c r="AA72" s="233"/>
      <c r="AB72" s="233"/>
      <c r="AC72" s="233"/>
      <c r="AD72" s="233"/>
      <c r="AE72" s="233"/>
      <c r="AF72" s="223">
        <f t="shared" si="42"/>
        <v>0</v>
      </c>
      <c r="AG72" s="381"/>
      <c r="AH72" s="381"/>
      <c r="AI72" s="381"/>
      <c r="AJ72" s="381"/>
      <c r="AK72" s="381"/>
      <c r="AL72" s="223">
        <f t="shared" si="43"/>
        <v>0</v>
      </c>
      <c r="AM72" s="38"/>
      <c r="AN72" s="38"/>
      <c r="AO72" s="38"/>
      <c r="AP72" s="38"/>
      <c r="AQ72" s="38"/>
      <c r="AR72" s="223">
        <f t="shared" si="44"/>
        <v>0</v>
      </c>
      <c r="AS72" s="25">
        <f>SUM(N72,H72,T72,Z72,AF72,AL72,AR72)</f>
        <v>0</v>
      </c>
      <c r="AT72" s="26">
        <f>COUNT(C72:G72,I72:M72,O72:S72,U72:Y72,AA72:AE72,AG72:AK72,AM72:AQ72)</f>
        <v>0</v>
      </c>
      <c r="AU72" s="266" t="str">
        <f>IF(AT72=0,"",AS72/AT72)</f>
        <v/>
      </c>
    </row>
    <row r="73" spans="1:47" s="27" customFormat="1" ht="15">
      <c r="A73" s="382"/>
      <c r="B73" s="383"/>
      <c r="C73" s="384"/>
      <c r="D73" s="384"/>
      <c r="E73" s="385"/>
      <c r="F73" s="385"/>
      <c r="G73" s="385"/>
      <c r="H73" s="386"/>
      <c r="I73" s="387"/>
      <c r="J73" s="387"/>
      <c r="K73" s="387"/>
      <c r="L73" s="387"/>
      <c r="M73" s="387"/>
      <c r="N73" s="388"/>
      <c r="O73" s="389"/>
      <c r="P73" s="389"/>
      <c r="Q73" s="389"/>
      <c r="R73" s="389"/>
      <c r="S73" s="389"/>
      <c r="T73" s="388"/>
      <c r="U73" s="390"/>
      <c r="V73" s="390"/>
      <c r="W73" s="390"/>
      <c r="X73" s="390"/>
      <c r="Y73" s="390"/>
      <c r="Z73" s="388"/>
      <c r="AA73" s="390"/>
      <c r="AB73" s="390"/>
      <c r="AC73" s="390"/>
      <c r="AD73" s="390"/>
      <c r="AE73" s="390"/>
      <c r="AF73" s="388"/>
      <c r="AG73" s="391"/>
      <c r="AH73" s="391"/>
      <c r="AI73" s="391"/>
      <c r="AJ73" s="391"/>
      <c r="AK73" s="391"/>
      <c r="AL73" s="388"/>
      <c r="AM73" s="389"/>
      <c r="AN73" s="389"/>
      <c r="AO73" s="389"/>
      <c r="AP73" s="389"/>
      <c r="AQ73" s="389"/>
      <c r="AR73" s="388"/>
      <c r="AS73" s="392"/>
      <c r="AT73" s="393"/>
      <c r="AU73" s="394"/>
    </row>
    <row r="74" spans="1:47" s="27" customFormat="1" ht="15.75" thickBot="1">
      <c r="A74" s="205"/>
      <c r="B74" s="206"/>
      <c r="C74" s="175"/>
      <c r="D74" s="175"/>
      <c r="E74" s="207"/>
      <c r="F74" s="207"/>
      <c r="G74" s="207"/>
      <c r="H74" s="176"/>
      <c r="I74" s="175"/>
      <c r="J74" s="175"/>
      <c r="K74" s="175"/>
      <c r="L74" s="175"/>
      <c r="M74" s="175"/>
      <c r="N74" s="177"/>
      <c r="O74" s="177"/>
      <c r="P74" s="177"/>
      <c r="Q74" s="177"/>
      <c r="R74" s="177"/>
      <c r="S74" s="177"/>
      <c r="T74" s="177"/>
      <c r="U74" s="178"/>
      <c r="V74" s="178"/>
      <c r="W74" s="178"/>
      <c r="X74" s="178"/>
      <c r="Y74" s="178"/>
      <c r="Z74" s="177"/>
      <c r="AA74" s="178"/>
      <c r="AB74" s="178"/>
      <c r="AC74" s="178"/>
      <c r="AD74" s="178"/>
      <c r="AE74" s="178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>
        <f>SUM(AS50:AS72)</f>
        <v>6807</v>
      </c>
      <c r="AT74" s="177">
        <f>SUM(AT50:AT72)</f>
        <v>50</v>
      </c>
      <c r="AU74" s="179">
        <f>IF(AT74=0,"",AS74/AT74)</f>
        <v>136.13999999999999</v>
      </c>
    </row>
    <row r="75" spans="1:47" s="27" customFormat="1" ht="15.75" thickBot="1">
      <c r="A75" s="208" t="s">
        <v>19</v>
      </c>
      <c r="B75" s="209"/>
      <c r="C75" s="182"/>
      <c r="D75" s="182"/>
      <c r="E75" s="210"/>
      <c r="F75" s="210"/>
      <c r="G75" s="210"/>
      <c r="H75" s="183"/>
      <c r="I75" s="182"/>
      <c r="J75" s="182"/>
      <c r="K75" s="182"/>
      <c r="L75" s="182"/>
      <c r="M75" s="182"/>
      <c r="N75" s="183"/>
      <c r="O75" s="183"/>
      <c r="P75" s="183"/>
      <c r="Q75" s="183"/>
      <c r="R75" s="183"/>
      <c r="S75" s="183"/>
      <c r="T75" s="183"/>
      <c r="U75" s="184"/>
      <c r="V75" s="184"/>
      <c r="W75" s="184"/>
      <c r="X75" s="184"/>
      <c r="Y75" s="184"/>
      <c r="Z75" s="183"/>
      <c r="AA75" s="184"/>
      <c r="AB75" s="184"/>
      <c r="AC75" s="184"/>
      <c r="AD75" s="184"/>
      <c r="AE75" s="184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5"/>
    </row>
    <row r="76" spans="1:47" s="27" customFormat="1" ht="15">
      <c r="A76" s="211" t="s">
        <v>0</v>
      </c>
      <c r="B76" s="297" t="s">
        <v>2</v>
      </c>
      <c r="C76" s="719">
        <v>149</v>
      </c>
      <c r="D76" s="719">
        <v>144</v>
      </c>
      <c r="E76" s="719">
        <v>199</v>
      </c>
      <c r="F76" s="719">
        <v>145</v>
      </c>
      <c r="G76" s="719">
        <v>154</v>
      </c>
      <c r="H76" s="222">
        <f t="shared" ref="H76:H92" si="45">SUM(C76+D76+E76+F76+G76)</f>
        <v>791</v>
      </c>
      <c r="I76" s="321"/>
      <c r="J76" s="321"/>
      <c r="K76" s="321"/>
      <c r="L76" s="321"/>
      <c r="M76" s="321"/>
      <c r="N76" s="222">
        <f t="shared" ref="N76:N92" si="46">SUM(I76+J76+K76+L76+M76)</f>
        <v>0</v>
      </c>
      <c r="O76" s="331"/>
      <c r="P76" s="331"/>
      <c r="Q76" s="331"/>
      <c r="R76" s="331"/>
      <c r="S76" s="331"/>
      <c r="T76" s="222">
        <f t="shared" ref="T76:T86" si="47">SUM(O76+P76+Q76+R76+S76)</f>
        <v>0</v>
      </c>
      <c r="U76" s="345"/>
      <c r="V76" s="345"/>
      <c r="W76" s="345"/>
      <c r="X76" s="345"/>
      <c r="Y76" s="345"/>
      <c r="Z76" s="222">
        <f t="shared" ref="Z76:Z86" si="48">SUM(U76+V76+W76+X76+Y76)</f>
        <v>0</v>
      </c>
      <c r="AA76" s="362"/>
      <c r="AB76" s="362"/>
      <c r="AC76" s="362"/>
      <c r="AD76" s="362"/>
      <c r="AE76" s="362"/>
      <c r="AF76" s="222">
        <f t="shared" ref="AF76:AF86" si="49">SUM(AA76+AB76+AC76+AD76+AE76)</f>
        <v>0</v>
      </c>
      <c r="AG76" s="396"/>
      <c r="AH76" s="396"/>
      <c r="AI76" s="396"/>
      <c r="AJ76" s="396"/>
      <c r="AK76" s="396"/>
      <c r="AL76" s="222">
        <f t="shared" ref="AL76:AL86" si="50">SUM(AG76+AH76+AI76+AJ76+AK76)</f>
        <v>0</v>
      </c>
      <c r="AM76" s="286"/>
      <c r="AN76" s="286"/>
      <c r="AO76" s="286"/>
      <c r="AP76" s="286"/>
      <c r="AQ76" s="286"/>
      <c r="AR76" s="222">
        <f t="shared" ref="AR76:AR86" si="51">SUM(AM76+AN76+AO76+AP76+AQ76)</f>
        <v>0</v>
      </c>
      <c r="AS76" s="188">
        <f t="shared" ref="AS76:AS85" si="52">SUM(N76,H76,T76,Z76,AF76,AL76,AR76)</f>
        <v>791</v>
      </c>
      <c r="AT76" s="189">
        <f t="shared" ref="AT76:AT85" si="53">COUNT(C76:G76,I76:M76,O76:S76,U76:Y76,AA76:AE76,AG76:AK76,AM76:AQ76)</f>
        <v>5</v>
      </c>
      <c r="AU76" s="267">
        <f t="shared" ref="AU76:AU85" si="54">IF(AT76=0,"",AS76/AT76)</f>
        <v>158.19999999999999</v>
      </c>
    </row>
    <row r="77" spans="1:47" s="27" customFormat="1" ht="15">
      <c r="A77" s="212" t="s">
        <v>0</v>
      </c>
      <c r="B77" s="155" t="s">
        <v>26</v>
      </c>
      <c r="C77" s="719">
        <v>163</v>
      </c>
      <c r="D77" s="719">
        <v>173</v>
      </c>
      <c r="E77" s="719">
        <v>180</v>
      </c>
      <c r="F77" s="719">
        <v>154</v>
      </c>
      <c r="G77" s="719">
        <v>157</v>
      </c>
      <c r="H77" s="223">
        <f t="shared" si="45"/>
        <v>827</v>
      </c>
      <c r="I77" s="321"/>
      <c r="J77" s="321"/>
      <c r="K77" s="321"/>
      <c r="L77" s="321"/>
      <c r="M77" s="321"/>
      <c r="N77" s="223">
        <f t="shared" si="46"/>
        <v>0</v>
      </c>
      <c r="O77" s="331"/>
      <c r="P77" s="331"/>
      <c r="Q77" s="331"/>
      <c r="R77" s="331"/>
      <c r="S77" s="331"/>
      <c r="T77" s="223">
        <f t="shared" si="47"/>
        <v>0</v>
      </c>
      <c r="U77" s="345"/>
      <c r="V77" s="345"/>
      <c r="W77" s="345"/>
      <c r="X77" s="345"/>
      <c r="Y77" s="345"/>
      <c r="Z77" s="223">
        <f t="shared" si="48"/>
        <v>0</v>
      </c>
      <c r="AA77" s="362"/>
      <c r="AB77" s="362"/>
      <c r="AC77" s="362"/>
      <c r="AD77" s="362"/>
      <c r="AE77" s="362"/>
      <c r="AF77" s="223">
        <f t="shared" si="49"/>
        <v>0</v>
      </c>
      <c r="AG77" s="396"/>
      <c r="AH77" s="396"/>
      <c r="AI77" s="396"/>
      <c r="AJ77" s="396"/>
      <c r="AK77" s="396"/>
      <c r="AL77" s="223">
        <f t="shared" si="50"/>
        <v>0</v>
      </c>
      <c r="AM77" s="403"/>
      <c r="AN77" s="403"/>
      <c r="AO77" s="403"/>
      <c r="AP77" s="403"/>
      <c r="AQ77" s="403"/>
      <c r="AR77" s="223">
        <f t="shared" si="51"/>
        <v>0</v>
      </c>
      <c r="AS77" s="25">
        <f t="shared" si="52"/>
        <v>827</v>
      </c>
      <c r="AT77" s="26">
        <f t="shared" si="53"/>
        <v>5</v>
      </c>
      <c r="AU77" s="266">
        <f t="shared" si="54"/>
        <v>165.4</v>
      </c>
    </row>
    <row r="78" spans="1:47" s="27" customFormat="1" ht="15">
      <c r="A78" s="212" t="s">
        <v>0</v>
      </c>
      <c r="B78" s="155" t="s">
        <v>45</v>
      </c>
      <c r="C78" s="719">
        <v>108</v>
      </c>
      <c r="D78" s="719">
        <v>104</v>
      </c>
      <c r="E78" s="719">
        <v>132</v>
      </c>
      <c r="F78" s="719">
        <v>126</v>
      </c>
      <c r="G78" s="719">
        <v>133</v>
      </c>
      <c r="H78" s="223">
        <f t="shared" si="45"/>
        <v>603</v>
      </c>
      <c r="I78" s="224"/>
      <c r="J78" s="224"/>
      <c r="K78" s="224"/>
      <c r="L78" s="224"/>
      <c r="M78" s="224"/>
      <c r="N78" s="223">
        <f t="shared" si="46"/>
        <v>0</v>
      </c>
      <c r="O78" s="331"/>
      <c r="P78" s="331"/>
      <c r="Q78" s="331"/>
      <c r="R78" s="331"/>
      <c r="S78" s="331"/>
      <c r="T78" s="223">
        <f t="shared" si="47"/>
        <v>0</v>
      </c>
      <c r="U78" s="345"/>
      <c r="V78" s="345"/>
      <c r="W78" s="345"/>
      <c r="X78" s="345"/>
      <c r="Y78" s="345"/>
      <c r="Z78" s="223">
        <f t="shared" si="48"/>
        <v>0</v>
      </c>
      <c r="AA78" s="362"/>
      <c r="AB78" s="362"/>
      <c r="AC78" s="362"/>
      <c r="AD78" s="362"/>
      <c r="AE78" s="362"/>
      <c r="AF78" s="223">
        <f t="shared" si="49"/>
        <v>0</v>
      </c>
      <c r="AG78" s="272"/>
      <c r="AH78" s="272"/>
      <c r="AI78" s="272"/>
      <c r="AJ78" s="272"/>
      <c r="AK78" s="272"/>
      <c r="AL78" s="223">
        <f t="shared" si="50"/>
        <v>0</v>
      </c>
      <c r="AM78" s="403"/>
      <c r="AN78" s="403"/>
      <c r="AO78" s="403"/>
      <c r="AP78" s="403"/>
      <c r="AQ78" s="403"/>
      <c r="AR78" s="223">
        <f t="shared" si="51"/>
        <v>0</v>
      </c>
      <c r="AS78" s="25">
        <f t="shared" si="52"/>
        <v>603</v>
      </c>
      <c r="AT78" s="26">
        <f t="shared" si="53"/>
        <v>5</v>
      </c>
      <c r="AU78" s="266">
        <f t="shared" si="54"/>
        <v>120.6</v>
      </c>
    </row>
    <row r="79" spans="1:47" s="27" customFormat="1" ht="15">
      <c r="A79" s="212" t="s">
        <v>0</v>
      </c>
      <c r="B79" s="156" t="s">
        <v>12</v>
      </c>
      <c r="C79" s="295"/>
      <c r="D79" s="295"/>
      <c r="E79" s="295"/>
      <c r="F79" s="295"/>
      <c r="G79" s="295"/>
      <c r="H79" s="223">
        <f t="shared" si="45"/>
        <v>0</v>
      </c>
      <c r="I79" s="224"/>
      <c r="J79" s="224"/>
      <c r="K79" s="224"/>
      <c r="L79" s="224"/>
      <c r="M79" s="224"/>
      <c r="N79" s="223">
        <f t="shared" si="46"/>
        <v>0</v>
      </c>
      <c r="O79" s="331"/>
      <c r="P79" s="331"/>
      <c r="Q79" s="331"/>
      <c r="R79" s="331"/>
      <c r="S79" s="331"/>
      <c r="T79" s="223">
        <f t="shared" si="47"/>
        <v>0</v>
      </c>
      <c r="U79" s="345"/>
      <c r="V79" s="345"/>
      <c r="W79" s="345"/>
      <c r="X79" s="345"/>
      <c r="Y79" s="345"/>
      <c r="Z79" s="223">
        <f t="shared" si="48"/>
        <v>0</v>
      </c>
      <c r="AA79" s="260"/>
      <c r="AB79" s="260"/>
      <c r="AC79" s="260"/>
      <c r="AD79" s="260"/>
      <c r="AE79" s="260"/>
      <c r="AF79" s="223">
        <f t="shared" si="49"/>
        <v>0</v>
      </c>
      <c r="AG79" s="396"/>
      <c r="AH79" s="396"/>
      <c r="AI79" s="396"/>
      <c r="AJ79" s="396"/>
      <c r="AK79" s="396"/>
      <c r="AL79" s="223">
        <f t="shared" si="50"/>
        <v>0</v>
      </c>
      <c r="AM79" s="285"/>
      <c r="AN79" s="285"/>
      <c r="AO79" s="285"/>
      <c r="AP79" s="285"/>
      <c r="AQ79" s="285"/>
      <c r="AR79" s="223">
        <f t="shared" si="51"/>
        <v>0</v>
      </c>
      <c r="AS79" s="25">
        <f t="shared" si="52"/>
        <v>0</v>
      </c>
      <c r="AT79" s="26">
        <f t="shared" si="53"/>
        <v>0</v>
      </c>
      <c r="AU79" s="266" t="str">
        <f t="shared" si="54"/>
        <v/>
      </c>
    </row>
    <row r="80" spans="1:47" s="27" customFormat="1" ht="15">
      <c r="A80" s="212" t="s">
        <v>0</v>
      </c>
      <c r="B80" s="155" t="s">
        <v>76</v>
      </c>
      <c r="C80" s="719">
        <v>130</v>
      </c>
      <c r="D80" s="719">
        <v>146</v>
      </c>
      <c r="E80" s="719">
        <v>176</v>
      </c>
      <c r="F80" s="719">
        <v>131</v>
      </c>
      <c r="G80" s="719">
        <v>111</v>
      </c>
      <c r="H80" s="223">
        <f t="shared" si="45"/>
        <v>694</v>
      </c>
      <c r="I80" s="321"/>
      <c r="J80" s="321"/>
      <c r="K80" s="321"/>
      <c r="L80" s="321"/>
      <c r="M80" s="321"/>
      <c r="N80" s="223">
        <f t="shared" si="46"/>
        <v>0</v>
      </c>
      <c r="O80" s="331"/>
      <c r="P80" s="331"/>
      <c r="Q80" s="331"/>
      <c r="R80" s="331"/>
      <c r="S80" s="331"/>
      <c r="T80" s="223">
        <f t="shared" si="47"/>
        <v>0</v>
      </c>
      <c r="U80" s="43"/>
      <c r="V80" s="43"/>
      <c r="W80" s="43"/>
      <c r="X80" s="43"/>
      <c r="Y80" s="43"/>
      <c r="Z80" s="223">
        <f t="shared" si="48"/>
        <v>0</v>
      </c>
      <c r="AA80" s="261"/>
      <c r="AB80" s="261"/>
      <c r="AC80" s="261"/>
      <c r="AD80" s="261"/>
      <c r="AE80" s="261"/>
      <c r="AF80" s="223">
        <f t="shared" si="49"/>
        <v>0</v>
      </c>
      <c r="AG80" s="228"/>
      <c r="AH80" s="228"/>
      <c r="AI80" s="228"/>
      <c r="AJ80" s="228"/>
      <c r="AK80" s="228"/>
      <c r="AL80" s="223">
        <f t="shared" si="50"/>
        <v>0</v>
      </c>
      <c r="AM80" s="403"/>
      <c r="AN80" s="403"/>
      <c r="AO80" s="403"/>
      <c r="AP80" s="403"/>
      <c r="AQ80" s="403"/>
      <c r="AR80" s="223">
        <f t="shared" si="51"/>
        <v>0</v>
      </c>
      <c r="AS80" s="25">
        <f t="shared" si="52"/>
        <v>694</v>
      </c>
      <c r="AT80" s="26">
        <f t="shared" si="53"/>
        <v>5</v>
      </c>
      <c r="AU80" s="266">
        <f t="shared" si="54"/>
        <v>138.80000000000001</v>
      </c>
    </row>
    <row r="81" spans="1:47" s="27" customFormat="1" ht="15">
      <c r="A81" s="212" t="s">
        <v>0</v>
      </c>
      <c r="B81" s="155" t="s">
        <v>7</v>
      </c>
      <c r="C81" s="719">
        <v>119</v>
      </c>
      <c r="D81" s="719">
        <v>111</v>
      </c>
      <c r="E81" s="719">
        <v>122</v>
      </c>
      <c r="F81" s="719">
        <v>123</v>
      </c>
      <c r="G81" s="719">
        <v>146</v>
      </c>
      <c r="H81" s="223">
        <f t="shared" si="45"/>
        <v>621</v>
      </c>
      <c r="I81" s="321"/>
      <c r="J81" s="321"/>
      <c r="K81" s="321"/>
      <c r="L81" s="321"/>
      <c r="M81" s="321"/>
      <c r="N81" s="223">
        <f t="shared" si="46"/>
        <v>0</v>
      </c>
      <c r="O81" s="331"/>
      <c r="P81" s="331"/>
      <c r="Q81" s="331"/>
      <c r="R81" s="331"/>
      <c r="S81" s="331"/>
      <c r="T81" s="223">
        <f t="shared" si="47"/>
        <v>0</v>
      </c>
      <c r="U81" s="345"/>
      <c r="V81" s="345"/>
      <c r="W81" s="345"/>
      <c r="X81" s="345"/>
      <c r="Y81" s="345"/>
      <c r="Z81" s="223">
        <f t="shared" si="48"/>
        <v>0</v>
      </c>
      <c r="AA81" s="362"/>
      <c r="AB81" s="362"/>
      <c r="AC81" s="362"/>
      <c r="AD81" s="362"/>
      <c r="AE81" s="362"/>
      <c r="AF81" s="223">
        <f t="shared" si="49"/>
        <v>0</v>
      </c>
      <c r="AG81" s="396"/>
      <c r="AH81" s="396"/>
      <c r="AI81" s="396"/>
      <c r="AJ81" s="396"/>
      <c r="AK81" s="396"/>
      <c r="AL81" s="223">
        <f t="shared" si="50"/>
        <v>0</v>
      </c>
      <c r="AM81" s="403"/>
      <c r="AN81" s="403"/>
      <c r="AO81" s="403"/>
      <c r="AP81" s="403"/>
      <c r="AQ81" s="403"/>
      <c r="AR81" s="223">
        <f t="shared" si="51"/>
        <v>0</v>
      </c>
      <c r="AS81" s="25">
        <f t="shared" si="52"/>
        <v>621</v>
      </c>
      <c r="AT81" s="26">
        <f t="shared" si="53"/>
        <v>5</v>
      </c>
      <c r="AU81" s="266">
        <f t="shared" si="54"/>
        <v>124.2</v>
      </c>
    </row>
    <row r="82" spans="1:47" s="27" customFormat="1" ht="15">
      <c r="A82" s="212" t="s">
        <v>0</v>
      </c>
      <c r="B82" s="155" t="s">
        <v>41</v>
      </c>
      <c r="C82" s="43"/>
      <c r="D82" s="43"/>
      <c r="E82" s="43"/>
      <c r="F82" s="43"/>
      <c r="G82" s="46"/>
      <c r="H82" s="223">
        <f t="shared" si="45"/>
        <v>0</v>
      </c>
      <c r="I82" s="232"/>
      <c r="J82" s="232"/>
      <c r="K82" s="232"/>
      <c r="L82" s="232"/>
      <c r="M82" s="232"/>
      <c r="N82" s="223">
        <f t="shared" si="46"/>
        <v>0</v>
      </c>
      <c r="O82" s="332"/>
      <c r="P82" s="332"/>
      <c r="Q82" s="332"/>
      <c r="R82" s="332"/>
      <c r="S82" s="332"/>
      <c r="T82" s="223">
        <f t="shared" si="47"/>
        <v>0</v>
      </c>
      <c r="U82" s="43"/>
      <c r="V82" s="43"/>
      <c r="W82" s="43"/>
      <c r="X82" s="43"/>
      <c r="Y82" s="43"/>
      <c r="Z82" s="223">
        <f t="shared" si="48"/>
        <v>0</v>
      </c>
      <c r="AA82" s="260"/>
      <c r="AB82" s="260"/>
      <c r="AC82" s="260"/>
      <c r="AD82" s="260"/>
      <c r="AE82" s="260"/>
      <c r="AF82" s="223">
        <f t="shared" si="49"/>
        <v>0</v>
      </c>
      <c r="AG82" s="227"/>
      <c r="AH82" s="227"/>
      <c r="AI82" s="227"/>
      <c r="AJ82" s="227"/>
      <c r="AK82" s="227"/>
      <c r="AL82" s="223">
        <f t="shared" si="50"/>
        <v>0</v>
      </c>
      <c r="AM82" s="285"/>
      <c r="AN82" s="285"/>
      <c r="AO82" s="285"/>
      <c r="AP82" s="285"/>
      <c r="AQ82" s="285"/>
      <c r="AR82" s="223">
        <f t="shared" si="51"/>
        <v>0</v>
      </c>
      <c r="AS82" s="25">
        <f t="shared" si="52"/>
        <v>0</v>
      </c>
      <c r="AT82" s="26">
        <f t="shared" si="53"/>
        <v>0</v>
      </c>
      <c r="AU82" s="266" t="str">
        <f t="shared" si="54"/>
        <v/>
      </c>
    </row>
    <row r="83" spans="1:47" s="27" customFormat="1" ht="15">
      <c r="A83" s="212" t="s">
        <v>0</v>
      </c>
      <c r="B83" s="155" t="s">
        <v>33</v>
      </c>
      <c r="C83" s="719">
        <v>156</v>
      </c>
      <c r="D83" s="719">
        <v>147</v>
      </c>
      <c r="E83" s="719">
        <v>169</v>
      </c>
      <c r="F83" s="719">
        <v>137</v>
      </c>
      <c r="G83" s="719">
        <v>112</v>
      </c>
      <c r="H83" s="223">
        <f t="shared" si="45"/>
        <v>721</v>
      </c>
      <c r="I83" s="321"/>
      <c r="J83" s="321"/>
      <c r="K83" s="321"/>
      <c r="L83" s="321"/>
      <c r="M83" s="321"/>
      <c r="N83" s="223">
        <f t="shared" si="46"/>
        <v>0</v>
      </c>
      <c r="O83" s="331"/>
      <c r="P83" s="331"/>
      <c r="Q83" s="331"/>
      <c r="R83" s="331"/>
      <c r="S83" s="331"/>
      <c r="T83" s="223">
        <f t="shared" si="47"/>
        <v>0</v>
      </c>
      <c r="U83" s="43"/>
      <c r="V83" s="43"/>
      <c r="W83" s="43"/>
      <c r="X83" s="43"/>
      <c r="Y83" s="43"/>
      <c r="Z83" s="223">
        <f t="shared" si="48"/>
        <v>0</v>
      </c>
      <c r="AA83" s="362"/>
      <c r="AB83" s="362"/>
      <c r="AC83" s="362"/>
      <c r="AD83" s="362"/>
      <c r="AE83" s="362"/>
      <c r="AF83" s="223">
        <f t="shared" si="49"/>
        <v>0</v>
      </c>
      <c r="AG83" s="396"/>
      <c r="AH83" s="396"/>
      <c r="AI83" s="396"/>
      <c r="AJ83" s="396"/>
      <c r="AK83" s="396"/>
      <c r="AL83" s="223">
        <f t="shared" si="50"/>
        <v>0</v>
      </c>
      <c r="AM83" s="38"/>
      <c r="AN83" s="38"/>
      <c r="AO83" s="38"/>
      <c r="AP83" s="38"/>
      <c r="AQ83" s="38"/>
      <c r="AR83" s="223">
        <f t="shared" si="51"/>
        <v>0</v>
      </c>
      <c r="AS83" s="25">
        <f t="shared" si="52"/>
        <v>721</v>
      </c>
      <c r="AT83" s="26">
        <f t="shared" si="53"/>
        <v>5</v>
      </c>
      <c r="AU83" s="266">
        <f t="shared" si="54"/>
        <v>144.19999999999999</v>
      </c>
    </row>
    <row r="84" spans="1:47" s="27" customFormat="1" ht="15">
      <c r="A84" s="212" t="s">
        <v>0</v>
      </c>
      <c r="B84" s="155" t="s">
        <v>34</v>
      </c>
      <c r="C84" s="719">
        <v>133</v>
      </c>
      <c r="D84" s="719">
        <v>103</v>
      </c>
      <c r="E84" s="719">
        <v>148</v>
      </c>
      <c r="F84" s="719">
        <v>142</v>
      </c>
      <c r="G84" s="719">
        <v>128</v>
      </c>
      <c r="H84" s="223">
        <f t="shared" si="45"/>
        <v>654</v>
      </c>
      <c r="I84" s="321"/>
      <c r="J84" s="321"/>
      <c r="K84" s="321"/>
      <c r="L84" s="321"/>
      <c r="M84" s="321"/>
      <c r="N84" s="223">
        <f t="shared" si="46"/>
        <v>0</v>
      </c>
      <c r="O84" s="330"/>
      <c r="P84" s="330"/>
      <c r="Q84" s="330"/>
      <c r="R84" s="330"/>
      <c r="S84" s="330"/>
      <c r="T84" s="223">
        <f t="shared" si="47"/>
        <v>0</v>
      </c>
      <c r="U84" s="345"/>
      <c r="V84" s="345"/>
      <c r="W84" s="345"/>
      <c r="X84" s="345"/>
      <c r="Y84" s="345"/>
      <c r="Z84" s="223">
        <f t="shared" si="48"/>
        <v>0</v>
      </c>
      <c r="AA84" s="362"/>
      <c r="AB84" s="362"/>
      <c r="AC84" s="362"/>
      <c r="AD84" s="362"/>
      <c r="AE84" s="362"/>
      <c r="AF84" s="223">
        <f t="shared" si="49"/>
        <v>0</v>
      </c>
      <c r="AG84" s="396"/>
      <c r="AH84" s="396"/>
      <c r="AI84" s="396"/>
      <c r="AJ84" s="396"/>
      <c r="AK84" s="396"/>
      <c r="AL84" s="223">
        <f t="shared" si="50"/>
        <v>0</v>
      </c>
      <c r="AM84" s="403"/>
      <c r="AN84" s="403"/>
      <c r="AO84" s="403"/>
      <c r="AP84" s="403"/>
      <c r="AQ84" s="403"/>
      <c r="AR84" s="223">
        <f t="shared" si="51"/>
        <v>0</v>
      </c>
      <c r="AS84" s="25">
        <f t="shared" si="52"/>
        <v>654</v>
      </c>
      <c r="AT84" s="26">
        <f t="shared" si="53"/>
        <v>5</v>
      </c>
      <c r="AU84" s="266">
        <f t="shared" si="54"/>
        <v>130.80000000000001</v>
      </c>
    </row>
    <row r="85" spans="1:47" s="27" customFormat="1" ht="15">
      <c r="A85" s="212" t="s">
        <v>0</v>
      </c>
      <c r="B85" s="155" t="s">
        <v>60</v>
      </c>
      <c r="C85" s="294"/>
      <c r="D85" s="294"/>
      <c r="E85" s="294"/>
      <c r="F85" s="294"/>
      <c r="G85" s="294"/>
      <c r="H85" s="223">
        <f t="shared" si="45"/>
        <v>0</v>
      </c>
      <c r="I85" s="321"/>
      <c r="J85" s="321"/>
      <c r="K85" s="321"/>
      <c r="L85" s="321"/>
      <c r="M85" s="321"/>
      <c r="N85" s="223">
        <f t="shared" si="46"/>
        <v>0</v>
      </c>
      <c r="O85" s="331"/>
      <c r="P85" s="331"/>
      <c r="Q85" s="331"/>
      <c r="R85" s="331"/>
      <c r="S85" s="331"/>
      <c r="T85" s="223">
        <f t="shared" si="47"/>
        <v>0</v>
      </c>
      <c r="U85" s="43"/>
      <c r="V85" s="43"/>
      <c r="W85" s="43"/>
      <c r="X85" s="43"/>
      <c r="Y85" s="43"/>
      <c r="Z85" s="223">
        <f t="shared" si="48"/>
        <v>0</v>
      </c>
      <c r="AA85" s="260"/>
      <c r="AB85" s="260"/>
      <c r="AC85" s="260"/>
      <c r="AD85" s="260"/>
      <c r="AE85" s="260"/>
      <c r="AF85" s="223">
        <f t="shared" si="49"/>
        <v>0</v>
      </c>
      <c r="AG85" s="396"/>
      <c r="AH85" s="396"/>
      <c r="AI85" s="396"/>
      <c r="AJ85" s="396"/>
      <c r="AK85" s="396"/>
      <c r="AL85" s="223">
        <f t="shared" si="50"/>
        <v>0</v>
      </c>
      <c r="AM85" s="403"/>
      <c r="AN85" s="403"/>
      <c r="AO85" s="403"/>
      <c r="AP85" s="403"/>
      <c r="AQ85" s="403"/>
      <c r="AR85" s="223">
        <f t="shared" si="51"/>
        <v>0</v>
      </c>
      <c r="AS85" s="25">
        <f t="shared" si="52"/>
        <v>0</v>
      </c>
      <c r="AT85" s="26">
        <f t="shared" si="53"/>
        <v>0</v>
      </c>
      <c r="AU85" s="266" t="str">
        <f t="shared" si="54"/>
        <v/>
      </c>
    </row>
    <row r="86" spans="1:47" s="27" customFormat="1" ht="15">
      <c r="A86" s="212" t="s">
        <v>0</v>
      </c>
      <c r="B86" s="157" t="s">
        <v>18</v>
      </c>
      <c r="C86" s="719">
        <v>121</v>
      </c>
      <c r="D86" s="719">
        <v>119</v>
      </c>
      <c r="E86" s="719">
        <v>143</v>
      </c>
      <c r="F86" s="719">
        <v>156</v>
      </c>
      <c r="G86" s="719">
        <v>142</v>
      </c>
      <c r="H86" s="223">
        <f t="shared" si="45"/>
        <v>681</v>
      </c>
      <c r="I86" s="321"/>
      <c r="J86" s="321"/>
      <c r="K86" s="321"/>
      <c r="L86" s="321"/>
      <c r="M86" s="321"/>
      <c r="N86" s="223">
        <f t="shared" si="46"/>
        <v>0</v>
      </c>
      <c r="O86" s="331"/>
      <c r="P86" s="331"/>
      <c r="Q86" s="331"/>
      <c r="R86" s="331"/>
      <c r="S86" s="331"/>
      <c r="T86" s="223">
        <f t="shared" si="47"/>
        <v>0</v>
      </c>
      <c r="U86" s="345"/>
      <c r="V86" s="345"/>
      <c r="W86" s="345"/>
      <c r="X86" s="345"/>
      <c r="Y86" s="345"/>
      <c r="Z86" s="223">
        <f t="shared" si="48"/>
        <v>0</v>
      </c>
      <c r="AA86" s="362"/>
      <c r="AB86" s="362"/>
      <c r="AC86" s="362"/>
      <c r="AD86" s="362"/>
      <c r="AE86" s="362"/>
      <c r="AF86" s="223">
        <f t="shared" si="49"/>
        <v>0</v>
      </c>
      <c r="AG86" s="396"/>
      <c r="AH86" s="396"/>
      <c r="AI86" s="396"/>
      <c r="AJ86" s="396"/>
      <c r="AK86" s="396"/>
      <c r="AL86" s="223">
        <f t="shared" si="50"/>
        <v>0</v>
      </c>
      <c r="AM86" s="403"/>
      <c r="AN86" s="403"/>
      <c r="AO86" s="403"/>
      <c r="AP86" s="403"/>
      <c r="AQ86" s="403"/>
      <c r="AR86" s="223">
        <f t="shared" si="51"/>
        <v>0</v>
      </c>
      <c r="AS86" s="25">
        <f t="shared" ref="AS86:AS91" si="55">SUM(N86,H86,T86,Z86,AF86,AL86,AR86)</f>
        <v>681</v>
      </c>
      <c r="AT86" s="26">
        <f t="shared" ref="AT86:AT91" si="56">COUNT(C86:G86,I86:M86,O86:S86,U86:Y86,AA86:AE86,AG86:AK86,AM86:AQ86)</f>
        <v>5</v>
      </c>
      <c r="AU86" s="266">
        <f t="shared" ref="AU86:AU91" si="57">IF(AT86=0,"",AS86/AT86)</f>
        <v>136.19999999999999</v>
      </c>
    </row>
    <row r="87" spans="1:47" s="27" customFormat="1" ht="15">
      <c r="A87" s="212" t="s">
        <v>0</v>
      </c>
      <c r="B87" s="159" t="s">
        <v>156</v>
      </c>
      <c r="C87" s="719">
        <v>187</v>
      </c>
      <c r="D87" s="719">
        <v>144</v>
      </c>
      <c r="E87" s="719">
        <v>125</v>
      </c>
      <c r="F87" s="719">
        <v>175</v>
      </c>
      <c r="G87" s="719">
        <v>168</v>
      </c>
      <c r="H87" s="223">
        <f t="shared" si="45"/>
        <v>799</v>
      </c>
      <c r="I87" s="321"/>
      <c r="J87" s="321"/>
      <c r="K87" s="321"/>
      <c r="L87" s="321"/>
      <c r="M87" s="321"/>
      <c r="N87" s="223">
        <f t="shared" si="46"/>
        <v>0</v>
      </c>
      <c r="O87" s="332"/>
      <c r="P87" s="332"/>
      <c r="Q87" s="332"/>
      <c r="R87" s="332"/>
      <c r="S87" s="332"/>
      <c r="T87" s="223">
        <f t="shared" ref="T87:T92" si="58">SUM(O87+P87+Q87+R87+S87)</f>
        <v>0</v>
      </c>
      <c r="U87" s="345"/>
      <c r="V87" s="345"/>
      <c r="W87" s="345"/>
      <c r="X87" s="345"/>
      <c r="Y87" s="345"/>
      <c r="Z87" s="223">
        <f t="shared" ref="Z87:Z92" si="59">SUM(U87+V87+W87+X87+Y87)</f>
        <v>0</v>
      </c>
      <c r="AA87" s="362"/>
      <c r="AB87" s="362"/>
      <c r="AC87" s="362"/>
      <c r="AD87" s="362"/>
      <c r="AE87" s="362"/>
      <c r="AF87" s="223">
        <f t="shared" ref="AF87:AF92" si="60">SUM(AA87+AB87+AC87+AD87+AE87)</f>
        <v>0</v>
      </c>
      <c r="AG87" s="396"/>
      <c r="AH87" s="396"/>
      <c r="AI87" s="396"/>
      <c r="AJ87" s="396"/>
      <c r="AK87" s="396"/>
      <c r="AL87" s="223">
        <f t="shared" ref="AL87:AL92" si="61">SUM(AG87+AH87+AI87+AJ87+AK87)</f>
        <v>0</v>
      </c>
      <c r="AM87" s="403"/>
      <c r="AN87" s="403"/>
      <c r="AO87" s="403"/>
      <c r="AP87" s="403"/>
      <c r="AQ87" s="403"/>
      <c r="AR87" s="223">
        <f t="shared" ref="AR87:AR92" si="62">SUM(AM87+AN87+AO87+AP87+AQ87)</f>
        <v>0</v>
      </c>
      <c r="AS87" s="25">
        <f t="shared" si="55"/>
        <v>799</v>
      </c>
      <c r="AT87" s="26">
        <f t="shared" si="56"/>
        <v>5</v>
      </c>
      <c r="AU87" s="266">
        <f t="shared" si="57"/>
        <v>159.80000000000001</v>
      </c>
    </row>
    <row r="88" spans="1:47" s="27" customFormat="1" ht="15">
      <c r="A88" s="212" t="s">
        <v>0</v>
      </c>
      <c r="B88" s="159" t="s">
        <v>144</v>
      </c>
      <c r="C88" s="719">
        <v>202</v>
      </c>
      <c r="D88" s="719">
        <v>170</v>
      </c>
      <c r="E88" s="719">
        <v>168</v>
      </c>
      <c r="F88" s="719">
        <v>116</v>
      </c>
      <c r="G88" s="719">
        <v>116</v>
      </c>
      <c r="H88" s="223">
        <f t="shared" si="45"/>
        <v>772</v>
      </c>
      <c r="I88" s="224"/>
      <c r="J88" s="224"/>
      <c r="K88" s="224"/>
      <c r="L88" s="224"/>
      <c r="M88" s="224"/>
      <c r="N88" s="223">
        <f t="shared" si="46"/>
        <v>0</v>
      </c>
      <c r="O88" s="330"/>
      <c r="P88" s="330"/>
      <c r="Q88" s="330"/>
      <c r="R88" s="330"/>
      <c r="S88" s="330"/>
      <c r="T88" s="223">
        <f t="shared" si="58"/>
        <v>0</v>
      </c>
      <c r="U88" s="345"/>
      <c r="V88" s="345"/>
      <c r="W88" s="345"/>
      <c r="X88" s="345"/>
      <c r="Y88" s="345"/>
      <c r="Z88" s="223">
        <f t="shared" si="59"/>
        <v>0</v>
      </c>
      <c r="AA88" s="362"/>
      <c r="AB88" s="362"/>
      <c r="AC88" s="362"/>
      <c r="AD88" s="362"/>
      <c r="AE88" s="362"/>
      <c r="AF88" s="223">
        <f t="shared" si="60"/>
        <v>0</v>
      </c>
      <c r="AG88" s="396"/>
      <c r="AH88" s="396"/>
      <c r="AI88" s="396"/>
      <c r="AJ88" s="396"/>
      <c r="AK88" s="396"/>
      <c r="AL88" s="223">
        <f t="shared" si="61"/>
        <v>0</v>
      </c>
      <c r="AM88" s="403"/>
      <c r="AN88" s="403"/>
      <c r="AO88" s="403"/>
      <c r="AP88" s="403"/>
      <c r="AQ88" s="403"/>
      <c r="AR88" s="223">
        <f t="shared" si="62"/>
        <v>0</v>
      </c>
      <c r="AS88" s="25">
        <f t="shared" si="55"/>
        <v>772</v>
      </c>
      <c r="AT88" s="26">
        <f t="shared" si="56"/>
        <v>5</v>
      </c>
      <c r="AU88" s="266">
        <f t="shared" si="57"/>
        <v>154.4</v>
      </c>
    </row>
    <row r="89" spans="1:47" s="27" customFormat="1" ht="15">
      <c r="A89" s="212" t="s">
        <v>0</v>
      </c>
      <c r="B89" s="159" t="s">
        <v>103</v>
      </c>
      <c r="C89" s="38"/>
      <c r="D89" s="38"/>
      <c r="E89" s="38"/>
      <c r="F89" s="38"/>
      <c r="G89" s="39"/>
      <c r="H89" s="223">
        <f t="shared" si="45"/>
        <v>0</v>
      </c>
      <c r="I89" s="224"/>
      <c r="J89" s="224"/>
      <c r="K89" s="224"/>
      <c r="L89" s="224"/>
      <c r="M89" s="224"/>
      <c r="N89" s="223">
        <f t="shared" si="46"/>
        <v>0</v>
      </c>
      <c r="O89" s="332"/>
      <c r="P89" s="332"/>
      <c r="Q89" s="332"/>
      <c r="R89" s="332"/>
      <c r="S89" s="332"/>
      <c r="T89" s="223">
        <f t="shared" si="58"/>
        <v>0</v>
      </c>
      <c r="U89" s="260"/>
      <c r="V89" s="260"/>
      <c r="W89" s="260"/>
      <c r="X89" s="260"/>
      <c r="Y89" s="260"/>
      <c r="Z89" s="223">
        <f t="shared" si="59"/>
        <v>0</v>
      </c>
      <c r="AA89" s="31"/>
      <c r="AB89" s="31"/>
      <c r="AC89" s="31"/>
      <c r="AD89" s="31"/>
      <c r="AE89" s="31"/>
      <c r="AF89" s="223">
        <f t="shared" si="60"/>
        <v>0</v>
      </c>
      <c r="AG89" s="228"/>
      <c r="AH89" s="228"/>
      <c r="AI89" s="228"/>
      <c r="AJ89" s="228"/>
      <c r="AK89" s="228"/>
      <c r="AL89" s="223">
        <f t="shared" si="61"/>
        <v>0</v>
      </c>
      <c r="AM89" s="285"/>
      <c r="AN89" s="285"/>
      <c r="AO89" s="285"/>
      <c r="AP89" s="285"/>
      <c r="AQ89" s="285"/>
      <c r="AR89" s="223">
        <f t="shared" si="62"/>
        <v>0</v>
      </c>
      <c r="AS89" s="25">
        <f t="shared" si="55"/>
        <v>0</v>
      </c>
      <c r="AT89" s="26">
        <f t="shared" si="56"/>
        <v>0</v>
      </c>
      <c r="AU89" s="266" t="str">
        <f t="shared" si="57"/>
        <v/>
      </c>
    </row>
    <row r="90" spans="1:47" s="27" customFormat="1" ht="15">
      <c r="A90" s="212" t="s">
        <v>0</v>
      </c>
      <c r="B90" s="158" t="s">
        <v>75</v>
      </c>
      <c r="C90" s="719">
        <v>132</v>
      </c>
      <c r="D90" s="719">
        <v>137</v>
      </c>
      <c r="E90" s="719">
        <v>104</v>
      </c>
      <c r="F90" s="719">
        <v>167</v>
      </c>
      <c r="G90" s="719">
        <v>113</v>
      </c>
      <c r="H90" s="223">
        <f t="shared" si="45"/>
        <v>653</v>
      </c>
      <c r="I90" s="224"/>
      <c r="J90" s="224"/>
      <c r="K90" s="224"/>
      <c r="L90" s="224"/>
      <c r="M90" s="224"/>
      <c r="N90" s="223">
        <f t="shared" si="46"/>
        <v>0</v>
      </c>
      <c r="O90" s="331"/>
      <c r="P90" s="331"/>
      <c r="Q90" s="331"/>
      <c r="R90" s="331"/>
      <c r="S90" s="331"/>
      <c r="T90" s="223">
        <f t="shared" si="58"/>
        <v>0</v>
      </c>
      <c r="U90" s="345"/>
      <c r="V90" s="345"/>
      <c r="W90" s="345"/>
      <c r="X90" s="345"/>
      <c r="Y90" s="345"/>
      <c r="Z90" s="223">
        <f t="shared" si="59"/>
        <v>0</v>
      </c>
      <c r="AA90" s="362"/>
      <c r="AB90" s="362"/>
      <c r="AC90" s="362"/>
      <c r="AD90" s="362"/>
      <c r="AE90" s="362"/>
      <c r="AF90" s="223">
        <f t="shared" si="60"/>
        <v>0</v>
      </c>
      <c r="AG90" s="272"/>
      <c r="AH90" s="272"/>
      <c r="AI90" s="272"/>
      <c r="AJ90" s="272"/>
      <c r="AK90" s="272"/>
      <c r="AL90" s="223">
        <f t="shared" si="61"/>
        <v>0</v>
      </c>
      <c r="AM90" s="403"/>
      <c r="AN90" s="403"/>
      <c r="AO90" s="403"/>
      <c r="AP90" s="403"/>
      <c r="AQ90" s="403"/>
      <c r="AR90" s="223">
        <f t="shared" si="62"/>
        <v>0</v>
      </c>
      <c r="AS90" s="25">
        <f t="shared" si="55"/>
        <v>653</v>
      </c>
      <c r="AT90" s="26">
        <f t="shared" si="56"/>
        <v>5</v>
      </c>
      <c r="AU90" s="266">
        <f t="shared" si="57"/>
        <v>130.6</v>
      </c>
    </row>
    <row r="91" spans="1:47" s="27" customFormat="1" ht="15">
      <c r="A91" s="212" t="s">
        <v>0</v>
      </c>
      <c r="B91" s="155" t="s">
        <v>88</v>
      </c>
      <c r="C91" s="719">
        <v>121</v>
      </c>
      <c r="D91" s="719">
        <v>165</v>
      </c>
      <c r="E91" s="719">
        <v>139</v>
      </c>
      <c r="F91" s="719">
        <v>135</v>
      </c>
      <c r="G91" s="719">
        <v>141</v>
      </c>
      <c r="H91" s="223">
        <f t="shared" si="45"/>
        <v>701</v>
      </c>
      <c r="I91" s="234"/>
      <c r="J91" s="234"/>
      <c r="K91" s="234"/>
      <c r="L91" s="234"/>
      <c r="M91" s="234"/>
      <c r="N91" s="223">
        <f t="shared" si="46"/>
        <v>0</v>
      </c>
      <c r="O91" s="229"/>
      <c r="P91" s="229"/>
      <c r="Q91" s="229"/>
      <c r="R91" s="229"/>
      <c r="S91" s="229"/>
      <c r="T91" s="223">
        <f t="shared" si="58"/>
        <v>0</v>
      </c>
      <c r="U91" s="224"/>
      <c r="V91" s="224"/>
      <c r="W91" s="224"/>
      <c r="X91" s="224"/>
      <c r="Y91" s="224"/>
      <c r="Z91" s="223">
        <f t="shared" si="59"/>
        <v>0</v>
      </c>
      <c r="AA91" s="260"/>
      <c r="AB91" s="260"/>
      <c r="AC91" s="260"/>
      <c r="AD91" s="260"/>
      <c r="AE91" s="260"/>
      <c r="AF91" s="223">
        <f t="shared" si="60"/>
        <v>0</v>
      </c>
      <c r="AG91" s="227"/>
      <c r="AH91" s="227"/>
      <c r="AI91" s="227"/>
      <c r="AJ91" s="227"/>
      <c r="AK91" s="227"/>
      <c r="AL91" s="223">
        <f t="shared" si="61"/>
        <v>0</v>
      </c>
      <c r="AM91" s="228"/>
      <c r="AN91" s="228"/>
      <c r="AO91" s="228"/>
      <c r="AP91" s="228"/>
      <c r="AQ91" s="228"/>
      <c r="AR91" s="223">
        <f t="shared" si="62"/>
        <v>0</v>
      </c>
      <c r="AS91" s="25">
        <f t="shared" si="55"/>
        <v>701</v>
      </c>
      <c r="AT91" s="26">
        <f t="shared" si="56"/>
        <v>5</v>
      </c>
      <c r="AU91" s="266">
        <f t="shared" si="57"/>
        <v>140.19999999999999</v>
      </c>
    </row>
    <row r="92" spans="1:47" s="27" customFormat="1" ht="15">
      <c r="A92" s="212" t="s">
        <v>0</v>
      </c>
      <c r="B92" s="155" t="s">
        <v>111</v>
      </c>
      <c r="C92" s="721"/>
      <c r="D92" s="721"/>
      <c r="E92" s="721"/>
      <c r="F92" s="721"/>
      <c r="G92" s="721"/>
      <c r="H92" s="223">
        <f t="shared" si="45"/>
        <v>0</v>
      </c>
      <c r="I92" s="226"/>
      <c r="J92" s="226"/>
      <c r="K92" s="226"/>
      <c r="L92" s="226"/>
      <c r="M92" s="226"/>
      <c r="N92" s="223">
        <f t="shared" si="46"/>
        <v>0</v>
      </c>
      <c r="O92" s="228"/>
      <c r="P92" s="228"/>
      <c r="Q92" s="228"/>
      <c r="R92" s="228"/>
      <c r="S92" s="228"/>
      <c r="T92" s="223">
        <f t="shared" si="58"/>
        <v>0</v>
      </c>
      <c r="U92" s="224"/>
      <c r="V92" s="226"/>
      <c r="W92" s="226"/>
      <c r="X92" s="226"/>
      <c r="Y92" s="226"/>
      <c r="Z92" s="223">
        <f t="shared" si="59"/>
        <v>0</v>
      </c>
      <c r="AA92" s="260"/>
      <c r="AB92" s="260"/>
      <c r="AC92" s="260"/>
      <c r="AD92" s="260"/>
      <c r="AE92" s="260"/>
      <c r="AF92" s="223">
        <f t="shared" si="60"/>
        <v>0</v>
      </c>
      <c r="AG92" s="228"/>
      <c r="AH92" s="228"/>
      <c r="AI92" s="228"/>
      <c r="AJ92" s="228"/>
      <c r="AK92" s="228"/>
      <c r="AL92" s="223">
        <f t="shared" si="61"/>
        <v>0</v>
      </c>
      <c r="AM92" s="228"/>
      <c r="AN92" s="228"/>
      <c r="AO92" s="228"/>
      <c r="AP92" s="228"/>
      <c r="AQ92" s="228"/>
      <c r="AR92" s="223">
        <f t="shared" si="62"/>
        <v>0</v>
      </c>
      <c r="AS92" s="25">
        <f>SUM(N92,H92,T92,Z92,AF92,AL92,AR92)</f>
        <v>0</v>
      </c>
      <c r="AT92" s="26">
        <f>COUNT(C92:G92,I92:M92,O92:S92,U92:Y92,AA92:AE92,AG92:AK92,AM92:AQ92)</f>
        <v>0</v>
      </c>
      <c r="AU92" s="266" t="str">
        <f>IF(AT92=0,"",AS92/AT92)</f>
        <v/>
      </c>
    </row>
    <row r="93" spans="1:47" s="27" customFormat="1" ht="15">
      <c r="A93" s="212" t="s">
        <v>0</v>
      </c>
      <c r="B93" s="155" t="s">
        <v>220</v>
      </c>
      <c r="C93" s="719">
        <v>129</v>
      </c>
      <c r="D93" s="719">
        <v>149</v>
      </c>
      <c r="E93" s="719">
        <v>194</v>
      </c>
      <c r="F93" s="719">
        <v>150</v>
      </c>
      <c r="G93" s="719">
        <v>139</v>
      </c>
      <c r="H93" s="223">
        <f>SUM(C93+D93+E93+F93+G93)</f>
        <v>761</v>
      </c>
      <c r="I93" s="226"/>
      <c r="J93" s="226"/>
      <c r="K93" s="226"/>
      <c r="L93" s="226"/>
      <c r="M93" s="226"/>
      <c r="N93" s="223">
        <f>SUM(I93+J93+K93+L93+M93)</f>
        <v>0</v>
      </c>
      <c r="O93" s="228"/>
      <c r="P93" s="228"/>
      <c r="Q93" s="228"/>
      <c r="R93" s="228"/>
      <c r="S93" s="228"/>
      <c r="T93" s="223">
        <f>SUM(O93+P93+Q93+R93+S93)</f>
        <v>0</v>
      </c>
      <c r="U93" s="224"/>
      <c r="V93" s="226"/>
      <c r="W93" s="226"/>
      <c r="X93" s="226"/>
      <c r="Y93" s="226"/>
      <c r="Z93" s="223">
        <f>SUM(U93+V93+W93+X93+Y93)</f>
        <v>0</v>
      </c>
      <c r="AA93" s="260"/>
      <c r="AB93" s="260"/>
      <c r="AC93" s="260"/>
      <c r="AD93" s="260"/>
      <c r="AE93" s="260"/>
      <c r="AF93" s="223">
        <f>SUM(AA93+AB93+AC93+AD93+AE93)</f>
        <v>0</v>
      </c>
      <c r="AG93" s="227"/>
      <c r="AH93" s="227"/>
      <c r="AI93" s="227"/>
      <c r="AJ93" s="227"/>
      <c r="AK93" s="227"/>
      <c r="AL93" s="223">
        <f>SUM(AG93+AH93+AI93+AJ93+AK93)</f>
        <v>0</v>
      </c>
      <c r="AM93" s="228"/>
      <c r="AN93" s="228"/>
      <c r="AO93" s="228"/>
      <c r="AP93" s="228"/>
      <c r="AQ93" s="228"/>
      <c r="AR93" s="223">
        <f>SUM(AM93+AN93+AO93+AP93+AQ93)</f>
        <v>0</v>
      </c>
      <c r="AS93" s="25">
        <f>SUM(N93,H93,T93,Z93,AF93,AL93,AR93)</f>
        <v>761</v>
      </c>
      <c r="AT93" s="26">
        <f>COUNT(C93:G93,I93:M93,O93:S93,U93:Y93,AA93:AE93,AG93:AK93,AM93:AQ93)</f>
        <v>5</v>
      </c>
      <c r="AU93" s="266">
        <f>IF(AT93=0,"",AS93/AT93)</f>
        <v>152.19999999999999</v>
      </c>
    </row>
    <row r="94" spans="1:47" s="27" customFormat="1" ht="15">
      <c r="A94" s="212" t="s">
        <v>0</v>
      </c>
      <c r="B94" s="155" t="s">
        <v>118</v>
      </c>
      <c r="C94" s="719">
        <v>112</v>
      </c>
      <c r="D94" s="719">
        <v>150</v>
      </c>
      <c r="E94" s="719">
        <v>148</v>
      </c>
      <c r="F94" s="719">
        <v>124</v>
      </c>
      <c r="G94" s="719">
        <v>175</v>
      </c>
      <c r="H94" s="223">
        <f>SUM(C94+D94+E94+F94+G94)</f>
        <v>709</v>
      </c>
      <c r="I94" s="321"/>
      <c r="J94" s="321"/>
      <c r="K94" s="321"/>
      <c r="L94" s="321"/>
      <c r="M94" s="321"/>
      <c r="N94" s="223">
        <f>SUM(I94+J94+K94+L94+M94)</f>
        <v>0</v>
      </c>
      <c r="O94" s="228"/>
      <c r="P94" s="228"/>
      <c r="Q94" s="228"/>
      <c r="R94" s="228"/>
      <c r="S94" s="228"/>
      <c r="T94" s="223">
        <f>SUM(O94+P94+Q94+R94+S94)</f>
        <v>0</v>
      </c>
      <c r="U94" s="224"/>
      <c r="V94" s="226"/>
      <c r="W94" s="226"/>
      <c r="X94" s="226"/>
      <c r="Y94" s="226"/>
      <c r="Z94" s="223">
        <f>SUM(U94+V94+W94+X94+Y94)</f>
        <v>0</v>
      </c>
      <c r="AA94" s="261"/>
      <c r="AB94" s="261"/>
      <c r="AC94" s="261"/>
      <c r="AD94" s="261"/>
      <c r="AE94" s="261"/>
      <c r="AF94" s="223">
        <f>SUM(AA94+AB94+AC94+AD94+AE94)</f>
        <v>0</v>
      </c>
      <c r="AG94" s="227"/>
      <c r="AH94" s="227"/>
      <c r="AI94" s="227"/>
      <c r="AJ94" s="227"/>
      <c r="AK94" s="227"/>
      <c r="AL94" s="223">
        <f>SUM(AG94+AH94+AI94+AJ94+AK94)</f>
        <v>0</v>
      </c>
      <c r="AM94" s="228"/>
      <c r="AN94" s="228"/>
      <c r="AO94" s="228"/>
      <c r="AP94" s="228"/>
      <c r="AQ94" s="228"/>
      <c r="AR94" s="223">
        <f>SUM(AM94+AN94+AO94+AP94+AQ94)</f>
        <v>0</v>
      </c>
      <c r="AS94" s="25">
        <f>SUM(N94,H94,T94,Z94,AF94,AL94,AR94)</f>
        <v>709</v>
      </c>
      <c r="AT94" s="26">
        <f>COUNT(C94:G94,I94:M94,O94:S94,U94:Y94,AA94:AE94,AG94:AK94,AM94:AQ94)</f>
        <v>5</v>
      </c>
      <c r="AU94" s="266">
        <f>IF(AT94=0,"",AS94/AT94)</f>
        <v>141.80000000000001</v>
      </c>
    </row>
    <row r="95" spans="1:47" s="27" customFormat="1" ht="15">
      <c r="A95" s="212" t="s">
        <v>0</v>
      </c>
      <c r="B95" s="155" t="s">
        <v>209</v>
      </c>
      <c r="C95" s="719">
        <v>108</v>
      </c>
      <c r="D95" s="719">
        <v>133</v>
      </c>
      <c r="E95" s="719">
        <v>117</v>
      </c>
      <c r="F95" s="719">
        <v>149</v>
      </c>
      <c r="G95" s="719">
        <v>161</v>
      </c>
      <c r="H95" s="223">
        <f>SUM(C95+D95+E95+F95+G95)</f>
        <v>668</v>
      </c>
      <c r="I95" s="226"/>
      <c r="J95" s="226"/>
      <c r="K95" s="226"/>
      <c r="L95" s="226"/>
      <c r="M95" s="226"/>
      <c r="N95" s="223">
        <f>SUM(I95+J95+K95+L95+M95)</f>
        <v>0</v>
      </c>
      <c r="O95" s="228"/>
      <c r="P95" s="228"/>
      <c r="Q95" s="228"/>
      <c r="R95" s="228"/>
      <c r="S95" s="228"/>
      <c r="T95" s="223">
        <f>SUM(O95+P95+Q95+R95+S95)</f>
        <v>0</v>
      </c>
      <c r="U95" s="224"/>
      <c r="V95" s="226"/>
      <c r="W95" s="226"/>
      <c r="X95" s="226"/>
      <c r="Y95" s="226"/>
      <c r="Z95" s="223">
        <f>SUM(U95+V95+W95+X95+Y95)</f>
        <v>0</v>
      </c>
      <c r="AA95" s="233"/>
      <c r="AB95" s="233"/>
      <c r="AC95" s="233"/>
      <c r="AD95" s="233"/>
      <c r="AE95" s="233"/>
      <c r="AF95" s="223">
        <f>SUM(AA95+AB95+AC95+AD95+AE95)</f>
        <v>0</v>
      </c>
      <c r="AG95" s="227"/>
      <c r="AH95" s="227"/>
      <c r="AI95" s="227"/>
      <c r="AJ95" s="227"/>
      <c r="AK95" s="227"/>
      <c r="AL95" s="223">
        <f>SUM(AG95+AH95+AI95+AJ95+AK95)</f>
        <v>0</v>
      </c>
      <c r="AM95" s="228"/>
      <c r="AN95" s="228"/>
      <c r="AO95" s="228"/>
      <c r="AP95" s="228"/>
      <c r="AQ95" s="228"/>
      <c r="AR95" s="223">
        <f>SUM(AM95+AN95+AO95+AP95+AQ95)</f>
        <v>0</v>
      </c>
      <c r="AS95" s="25">
        <f>SUM(N95,H95,T95,Z95,AF95,AL95,AR95)</f>
        <v>668</v>
      </c>
      <c r="AT95" s="26">
        <f>COUNT(C95:G95,I95:M95,O95:S95,U95:Y95,AA95:AE95,AG95:AK95,AM95:AQ95)</f>
        <v>5</v>
      </c>
      <c r="AU95" s="266">
        <f>IF(AT95=0,"",AS95/AT95)</f>
        <v>133.6</v>
      </c>
    </row>
    <row r="96" spans="1:47" s="27" customFormat="1" ht="15">
      <c r="A96" s="212"/>
      <c r="B96" s="155"/>
      <c r="C96" s="45"/>
      <c r="D96" s="45"/>
      <c r="E96" s="45"/>
      <c r="F96" s="45"/>
      <c r="G96" s="45"/>
      <c r="H96" s="223"/>
      <c r="I96" s="226"/>
      <c r="J96" s="226"/>
      <c r="K96" s="226"/>
      <c r="L96" s="226"/>
      <c r="M96" s="226"/>
      <c r="N96" s="238"/>
      <c r="O96" s="228"/>
      <c r="P96" s="228"/>
      <c r="Q96" s="228"/>
      <c r="R96" s="228"/>
      <c r="S96" s="228"/>
      <c r="T96" s="238"/>
      <c r="U96" s="224"/>
      <c r="V96" s="226"/>
      <c r="W96" s="226"/>
      <c r="X96" s="226"/>
      <c r="Y96" s="226"/>
      <c r="Z96" s="238"/>
      <c r="AA96" s="232"/>
      <c r="AB96" s="232"/>
      <c r="AC96" s="232"/>
      <c r="AD96" s="232"/>
      <c r="AE96" s="232"/>
      <c r="AF96" s="238"/>
      <c r="AG96" s="228"/>
      <c r="AH96" s="228"/>
      <c r="AI96" s="228"/>
      <c r="AJ96" s="228"/>
      <c r="AK96" s="228"/>
      <c r="AL96" s="238"/>
      <c r="AM96" s="228"/>
      <c r="AN96" s="228"/>
      <c r="AO96" s="228"/>
      <c r="AP96" s="228"/>
      <c r="AQ96" s="228"/>
      <c r="AR96" s="238"/>
      <c r="AS96" s="28"/>
      <c r="AT96" s="29"/>
      <c r="AU96" s="266"/>
    </row>
    <row r="97" spans="1:47" s="27" customFormat="1" ht="15.75" thickBot="1">
      <c r="A97" s="213"/>
      <c r="B97" s="214"/>
      <c r="C97" s="175"/>
      <c r="D97" s="175"/>
      <c r="E97" s="175"/>
      <c r="F97" s="175"/>
      <c r="G97" s="175"/>
      <c r="H97" s="176"/>
      <c r="I97" s="175"/>
      <c r="J97" s="175"/>
      <c r="K97" s="175"/>
      <c r="L97" s="175"/>
      <c r="M97" s="175"/>
      <c r="N97" s="177"/>
      <c r="O97" s="177"/>
      <c r="P97" s="177"/>
      <c r="Q97" s="177"/>
      <c r="R97" s="177"/>
      <c r="S97" s="177"/>
      <c r="T97" s="177"/>
      <c r="U97" s="178"/>
      <c r="V97" s="178"/>
      <c r="W97" s="178"/>
      <c r="X97" s="178"/>
      <c r="Y97" s="178"/>
      <c r="Z97" s="177"/>
      <c r="AA97" s="178"/>
      <c r="AB97" s="178"/>
      <c r="AC97" s="178"/>
      <c r="AD97" s="178"/>
      <c r="AE97" s="178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>
        <f>SUM(AS76:AS91)</f>
        <v>8517</v>
      </c>
      <c r="AT97" s="177">
        <f>SUM(AT76:AT91)</f>
        <v>60</v>
      </c>
      <c r="AU97" s="179">
        <f>IF(AT97=0,"",AS97/AT97)</f>
        <v>141.94999999999999</v>
      </c>
    </row>
    <row r="98" spans="1:47" s="27" customFormat="1" ht="15.75" thickBot="1">
      <c r="A98" s="215"/>
      <c r="B98" s="216"/>
      <c r="C98" s="182"/>
      <c r="D98" s="182"/>
      <c r="E98" s="182"/>
      <c r="F98" s="182"/>
      <c r="G98" s="182"/>
      <c r="H98" s="183"/>
      <c r="I98" s="182"/>
      <c r="J98" s="182"/>
      <c r="K98" s="182"/>
      <c r="L98" s="182"/>
      <c r="M98" s="182"/>
      <c r="N98" s="183"/>
      <c r="O98" s="183"/>
      <c r="P98" s="183"/>
      <c r="Q98" s="183"/>
      <c r="R98" s="183"/>
      <c r="S98" s="183"/>
      <c r="T98" s="183"/>
      <c r="U98" s="184"/>
      <c r="V98" s="184"/>
      <c r="W98" s="184"/>
      <c r="X98" s="184"/>
      <c r="Y98" s="184"/>
      <c r="Z98" s="183"/>
      <c r="AA98" s="184"/>
      <c r="AB98" s="184"/>
      <c r="AC98" s="184"/>
      <c r="AD98" s="184"/>
      <c r="AE98" s="184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2"/>
      <c r="AT98" s="182"/>
      <c r="AU98" s="185"/>
    </row>
    <row r="99" spans="1:47" s="27" customFormat="1" ht="15">
      <c r="A99" s="217" t="s">
        <v>6</v>
      </c>
      <c r="B99" s="298" t="s">
        <v>93</v>
      </c>
      <c r="C99" s="719">
        <v>135</v>
      </c>
      <c r="D99" s="719">
        <v>202</v>
      </c>
      <c r="E99" s="719">
        <v>188</v>
      </c>
      <c r="F99" s="719">
        <v>170</v>
      </c>
      <c r="G99" s="719">
        <v>149</v>
      </c>
      <c r="H99" s="222">
        <f t="shared" ref="H99:H117" si="63">SUM(C99+D99+E99+F99+G99)</f>
        <v>844</v>
      </c>
      <c r="I99" s="319"/>
      <c r="J99" s="319"/>
      <c r="K99" s="319"/>
      <c r="L99" s="319"/>
      <c r="M99" s="319"/>
      <c r="N99" s="222">
        <f t="shared" ref="N99:N114" si="64">SUM(I99+J99+K99+L99+M99)</f>
        <v>0</v>
      </c>
      <c r="O99" s="331"/>
      <c r="P99" s="331"/>
      <c r="Q99" s="331"/>
      <c r="R99" s="331"/>
      <c r="S99" s="331"/>
      <c r="T99" s="222">
        <f t="shared" ref="T99:T111" si="65">SUM(O99+P99+Q99+R99+S99)</f>
        <v>0</v>
      </c>
      <c r="U99" s="345"/>
      <c r="V99" s="345"/>
      <c r="W99" s="345"/>
      <c r="X99" s="345"/>
      <c r="Y99" s="345"/>
      <c r="Z99" s="222">
        <f t="shared" ref="Z99:Z111" si="66">SUM(U99+V99+W99+X99+Y99)</f>
        <v>0</v>
      </c>
      <c r="AA99" s="362"/>
      <c r="AB99" s="362"/>
      <c r="AC99" s="362"/>
      <c r="AD99" s="362"/>
      <c r="AE99" s="362"/>
      <c r="AF99" s="222">
        <f t="shared" ref="AF99:AF111" si="67">SUM(AA99+AB99+AC99+AD99+AE99)</f>
        <v>0</v>
      </c>
      <c r="AG99" s="397"/>
      <c r="AH99" s="397"/>
      <c r="AI99" s="397"/>
      <c r="AJ99" s="397"/>
      <c r="AK99" s="397"/>
      <c r="AL99" s="222">
        <f t="shared" ref="AL99:AL111" si="68">SUM(AG99+AH99+AI99+AJ99+AK99)</f>
        <v>0</v>
      </c>
      <c r="AM99" s="403"/>
      <c r="AN99" s="403"/>
      <c r="AO99" s="403"/>
      <c r="AP99" s="403"/>
      <c r="AQ99" s="403"/>
      <c r="AR99" s="222">
        <f t="shared" ref="AR99:AR111" si="69">SUM(AM99+AN99+AO99+AP99+AQ99)</f>
        <v>0</v>
      </c>
      <c r="AS99" s="188">
        <f t="shared" ref="AS99:AS108" si="70">SUM(N99,H99,T99,Z99,AF99,AL99,AR99)</f>
        <v>844</v>
      </c>
      <c r="AT99" s="189">
        <f t="shared" ref="AT99:AT108" si="71">COUNT(C99:G99,I99:M99,O99:S99,U99:Y99,AA99:AE99,AG99:AK99,AM99:AQ99)</f>
        <v>5</v>
      </c>
      <c r="AU99" s="267">
        <f t="shared" ref="AU99:AU108" si="72">IF(AT99=0,"",AS99/AT99)</f>
        <v>168.8</v>
      </c>
    </row>
    <row r="100" spans="1:47" s="27" customFormat="1" ht="15">
      <c r="A100" s="218" t="s">
        <v>6</v>
      </c>
      <c r="B100" s="160" t="s">
        <v>119</v>
      </c>
      <c r="C100" s="294"/>
      <c r="D100" s="294"/>
      <c r="E100" s="294"/>
      <c r="F100" s="294"/>
      <c r="G100" s="294"/>
      <c r="H100" s="223">
        <f t="shared" si="63"/>
        <v>0</v>
      </c>
      <c r="I100" s="319"/>
      <c r="J100" s="319"/>
      <c r="K100" s="319"/>
      <c r="L100" s="319"/>
      <c r="M100" s="319"/>
      <c r="N100" s="223">
        <f t="shared" si="64"/>
        <v>0</v>
      </c>
      <c r="O100" s="331"/>
      <c r="P100" s="331"/>
      <c r="Q100" s="331"/>
      <c r="R100" s="331"/>
      <c r="S100" s="331"/>
      <c r="T100" s="223">
        <f t="shared" si="65"/>
        <v>0</v>
      </c>
      <c r="U100" s="43"/>
      <c r="V100" s="43"/>
      <c r="W100" s="43"/>
      <c r="X100" s="43"/>
      <c r="Y100" s="43"/>
      <c r="Z100" s="223">
        <f t="shared" si="66"/>
        <v>0</v>
      </c>
      <c r="AA100" s="261"/>
      <c r="AB100" s="261"/>
      <c r="AC100" s="261"/>
      <c r="AD100" s="261"/>
      <c r="AE100" s="261"/>
      <c r="AF100" s="223">
        <f t="shared" si="67"/>
        <v>0</v>
      </c>
      <c r="AG100" s="397"/>
      <c r="AH100" s="397"/>
      <c r="AI100" s="397"/>
      <c r="AJ100" s="397"/>
      <c r="AK100" s="397"/>
      <c r="AL100" s="223">
        <f t="shared" si="68"/>
        <v>0</v>
      </c>
      <c r="AM100" s="38"/>
      <c r="AN100" s="38"/>
      <c r="AO100" s="38"/>
      <c r="AP100" s="38"/>
      <c r="AQ100" s="38"/>
      <c r="AR100" s="223">
        <f t="shared" si="69"/>
        <v>0</v>
      </c>
      <c r="AS100" s="25">
        <f t="shared" si="70"/>
        <v>0</v>
      </c>
      <c r="AT100" s="26">
        <f t="shared" si="71"/>
        <v>0</v>
      </c>
      <c r="AU100" s="266" t="str">
        <f t="shared" si="72"/>
        <v/>
      </c>
    </row>
    <row r="101" spans="1:47" s="27" customFormat="1" ht="15">
      <c r="A101" s="218" t="s">
        <v>6</v>
      </c>
      <c r="B101" s="160" t="s">
        <v>43</v>
      </c>
      <c r="C101" s="294"/>
      <c r="D101" s="294"/>
      <c r="E101" s="294"/>
      <c r="F101" s="294"/>
      <c r="G101" s="294"/>
      <c r="H101" s="223">
        <f t="shared" si="63"/>
        <v>0</v>
      </c>
      <c r="I101" s="319"/>
      <c r="J101" s="319"/>
      <c r="K101" s="319"/>
      <c r="L101" s="319"/>
      <c r="M101" s="319"/>
      <c r="N101" s="223">
        <f t="shared" si="64"/>
        <v>0</v>
      </c>
      <c r="O101" s="331"/>
      <c r="P101" s="331"/>
      <c r="Q101" s="331"/>
      <c r="R101" s="331"/>
      <c r="S101" s="331"/>
      <c r="T101" s="223">
        <f t="shared" si="65"/>
        <v>0</v>
      </c>
      <c r="U101" s="43"/>
      <c r="V101" s="43"/>
      <c r="W101" s="43"/>
      <c r="X101" s="43"/>
      <c r="Y101" s="43"/>
      <c r="Z101" s="223">
        <f t="shared" si="66"/>
        <v>0</v>
      </c>
      <c r="AA101" s="362"/>
      <c r="AB101" s="362"/>
      <c r="AC101" s="362"/>
      <c r="AD101" s="362"/>
      <c r="AE101" s="362"/>
      <c r="AF101" s="223">
        <f t="shared" si="67"/>
        <v>0</v>
      </c>
      <c r="AG101" s="272"/>
      <c r="AH101" s="272"/>
      <c r="AI101" s="272"/>
      <c r="AJ101" s="272"/>
      <c r="AK101" s="272"/>
      <c r="AL101" s="223">
        <f t="shared" si="68"/>
        <v>0</v>
      </c>
      <c r="AM101" s="403"/>
      <c r="AN101" s="403"/>
      <c r="AO101" s="403"/>
      <c r="AP101" s="403"/>
      <c r="AQ101" s="403"/>
      <c r="AR101" s="223">
        <f t="shared" si="69"/>
        <v>0</v>
      </c>
      <c r="AS101" s="25">
        <f t="shared" si="70"/>
        <v>0</v>
      </c>
      <c r="AT101" s="26">
        <f t="shared" si="71"/>
        <v>0</v>
      </c>
      <c r="AU101" s="266" t="str">
        <f t="shared" si="72"/>
        <v/>
      </c>
    </row>
    <row r="102" spans="1:47" s="27" customFormat="1" ht="15">
      <c r="A102" s="218" t="s">
        <v>6</v>
      </c>
      <c r="B102" s="160" t="s">
        <v>10</v>
      </c>
      <c r="C102" s="43"/>
      <c r="D102" s="43"/>
      <c r="E102" s="43"/>
      <c r="F102" s="43"/>
      <c r="G102" s="46"/>
      <c r="H102" s="223">
        <f t="shared" si="63"/>
        <v>0</v>
      </c>
      <c r="I102" s="227"/>
      <c r="J102" s="227"/>
      <c r="K102" s="227"/>
      <c r="L102" s="227"/>
      <c r="M102" s="227"/>
      <c r="N102" s="223">
        <f t="shared" si="64"/>
        <v>0</v>
      </c>
      <c r="O102" s="332"/>
      <c r="P102" s="332"/>
      <c r="Q102" s="332"/>
      <c r="R102" s="332"/>
      <c r="S102" s="332"/>
      <c r="T102" s="223">
        <f t="shared" si="65"/>
        <v>0</v>
      </c>
      <c r="U102" s="43"/>
      <c r="V102" s="38"/>
      <c r="W102" s="38"/>
      <c r="X102" s="38"/>
      <c r="Y102" s="38"/>
      <c r="Z102" s="223">
        <f t="shared" si="66"/>
        <v>0</v>
      </c>
      <c r="AA102" s="262"/>
      <c r="AB102" s="262"/>
      <c r="AC102" s="262"/>
      <c r="AD102" s="262"/>
      <c r="AE102" s="262"/>
      <c r="AF102" s="223">
        <f t="shared" si="67"/>
        <v>0</v>
      </c>
      <c r="AG102" s="228"/>
      <c r="AH102" s="228"/>
      <c r="AI102" s="228"/>
      <c r="AJ102" s="228"/>
      <c r="AK102" s="228"/>
      <c r="AL102" s="223">
        <f t="shared" si="68"/>
        <v>0</v>
      </c>
      <c r="AM102" s="403"/>
      <c r="AN102" s="403"/>
      <c r="AO102" s="403"/>
      <c r="AP102" s="403"/>
      <c r="AQ102" s="403"/>
      <c r="AR102" s="223">
        <f t="shared" si="69"/>
        <v>0</v>
      </c>
      <c r="AS102" s="25">
        <f t="shared" si="70"/>
        <v>0</v>
      </c>
      <c r="AT102" s="26">
        <f t="shared" si="71"/>
        <v>0</v>
      </c>
      <c r="AU102" s="266" t="str">
        <f t="shared" si="72"/>
        <v/>
      </c>
    </row>
    <row r="103" spans="1:47" s="27" customFormat="1" ht="15">
      <c r="A103" s="218" t="s">
        <v>6</v>
      </c>
      <c r="B103" s="160" t="s">
        <v>102</v>
      </c>
      <c r="C103" s="719">
        <v>161</v>
      </c>
      <c r="D103" s="719">
        <v>147</v>
      </c>
      <c r="E103" s="719">
        <v>134</v>
      </c>
      <c r="F103" s="719">
        <v>135</v>
      </c>
      <c r="G103" s="719">
        <v>109</v>
      </c>
      <c r="H103" s="223">
        <f t="shared" si="63"/>
        <v>686</v>
      </c>
      <c r="I103" s="224"/>
      <c r="J103" s="224"/>
      <c r="K103" s="224"/>
      <c r="L103" s="224"/>
      <c r="M103" s="224"/>
      <c r="N103" s="223">
        <f t="shared" si="64"/>
        <v>0</v>
      </c>
      <c r="O103" s="330"/>
      <c r="P103" s="330"/>
      <c r="Q103" s="330"/>
      <c r="R103" s="330"/>
      <c r="S103" s="330"/>
      <c r="T103" s="223">
        <f t="shared" si="65"/>
        <v>0</v>
      </c>
      <c r="U103" s="43"/>
      <c r="V103" s="31"/>
      <c r="W103" s="31"/>
      <c r="X103" s="31"/>
      <c r="Y103" s="31"/>
      <c r="Z103" s="223">
        <f t="shared" si="66"/>
        <v>0</v>
      </c>
      <c r="AA103" s="362"/>
      <c r="AB103" s="362"/>
      <c r="AC103" s="362"/>
      <c r="AD103" s="362"/>
      <c r="AE103" s="362"/>
      <c r="AF103" s="223">
        <f t="shared" si="67"/>
        <v>0</v>
      </c>
      <c r="AG103" s="397"/>
      <c r="AH103" s="397"/>
      <c r="AI103" s="397"/>
      <c r="AJ103" s="397"/>
      <c r="AK103" s="397"/>
      <c r="AL103" s="223">
        <f t="shared" si="68"/>
        <v>0</v>
      </c>
      <c r="AM103" s="38"/>
      <c r="AN103" s="38"/>
      <c r="AO103" s="38"/>
      <c r="AP103" s="38"/>
      <c r="AQ103" s="38"/>
      <c r="AR103" s="223">
        <f t="shared" si="69"/>
        <v>0</v>
      </c>
      <c r="AS103" s="25">
        <f t="shared" si="70"/>
        <v>686</v>
      </c>
      <c r="AT103" s="26">
        <f t="shared" si="71"/>
        <v>5</v>
      </c>
      <c r="AU103" s="266">
        <f t="shared" si="72"/>
        <v>137.19999999999999</v>
      </c>
    </row>
    <row r="104" spans="1:47" s="27" customFormat="1" ht="15">
      <c r="A104" s="218" t="s">
        <v>6</v>
      </c>
      <c r="B104" s="160" t="s">
        <v>13</v>
      </c>
      <c r="C104" s="719">
        <v>77</v>
      </c>
      <c r="D104" s="719">
        <v>122</v>
      </c>
      <c r="E104" s="719">
        <v>133</v>
      </c>
      <c r="F104" s="719">
        <v>104</v>
      </c>
      <c r="G104" s="719">
        <v>94</v>
      </c>
      <c r="H104" s="223">
        <f t="shared" si="63"/>
        <v>530</v>
      </c>
      <c r="I104" s="319"/>
      <c r="J104" s="319"/>
      <c r="K104" s="319"/>
      <c r="L104" s="319"/>
      <c r="M104" s="319"/>
      <c r="N104" s="223">
        <f t="shared" si="64"/>
        <v>0</v>
      </c>
      <c r="O104" s="331"/>
      <c r="P104" s="331"/>
      <c r="Q104" s="331"/>
      <c r="R104" s="331"/>
      <c r="S104" s="331"/>
      <c r="T104" s="223">
        <f t="shared" si="65"/>
        <v>0</v>
      </c>
      <c r="U104" s="345"/>
      <c r="V104" s="345"/>
      <c r="W104" s="345"/>
      <c r="X104" s="345"/>
      <c r="Y104" s="345"/>
      <c r="Z104" s="223">
        <f t="shared" si="66"/>
        <v>0</v>
      </c>
      <c r="AA104" s="362"/>
      <c r="AB104" s="362"/>
      <c r="AC104" s="362"/>
      <c r="AD104" s="362"/>
      <c r="AE104" s="362"/>
      <c r="AF104" s="223">
        <f t="shared" si="67"/>
        <v>0</v>
      </c>
      <c r="AG104" s="397"/>
      <c r="AH104" s="397"/>
      <c r="AI104" s="397"/>
      <c r="AJ104" s="397"/>
      <c r="AK104" s="397"/>
      <c r="AL104" s="223">
        <f t="shared" si="68"/>
        <v>0</v>
      </c>
      <c r="AM104" s="403"/>
      <c r="AN104" s="403"/>
      <c r="AO104" s="403"/>
      <c r="AP104" s="403"/>
      <c r="AQ104" s="403"/>
      <c r="AR104" s="223">
        <f t="shared" si="69"/>
        <v>0</v>
      </c>
      <c r="AS104" s="25">
        <f t="shared" si="70"/>
        <v>530</v>
      </c>
      <c r="AT104" s="26">
        <f t="shared" si="71"/>
        <v>5</v>
      </c>
      <c r="AU104" s="266">
        <f t="shared" si="72"/>
        <v>106</v>
      </c>
    </row>
    <row r="105" spans="1:47" s="27" customFormat="1" ht="15">
      <c r="A105" s="218" t="s">
        <v>6</v>
      </c>
      <c r="B105" s="160" t="s">
        <v>25</v>
      </c>
      <c r="C105" s="295"/>
      <c r="D105" s="295"/>
      <c r="E105" s="295"/>
      <c r="F105" s="295"/>
      <c r="G105" s="295"/>
      <c r="H105" s="223">
        <f t="shared" si="63"/>
        <v>0</v>
      </c>
      <c r="I105" s="224"/>
      <c r="J105" s="224"/>
      <c r="K105" s="224"/>
      <c r="L105" s="224"/>
      <c r="M105" s="224"/>
      <c r="N105" s="223">
        <f t="shared" si="64"/>
        <v>0</v>
      </c>
      <c r="O105" s="330"/>
      <c r="P105" s="330"/>
      <c r="Q105" s="330"/>
      <c r="R105" s="330"/>
      <c r="S105" s="330"/>
      <c r="T105" s="223">
        <f t="shared" si="65"/>
        <v>0</v>
      </c>
      <c r="U105" s="43"/>
      <c r="V105" s="43"/>
      <c r="W105" s="43"/>
      <c r="X105" s="43"/>
      <c r="Y105" s="43"/>
      <c r="Z105" s="223">
        <f t="shared" si="66"/>
        <v>0</v>
      </c>
      <c r="AA105" s="362"/>
      <c r="AB105" s="362"/>
      <c r="AC105" s="362"/>
      <c r="AD105" s="362"/>
      <c r="AE105" s="362"/>
      <c r="AF105" s="223">
        <f t="shared" si="67"/>
        <v>0</v>
      </c>
      <c r="AG105" s="272"/>
      <c r="AH105" s="272"/>
      <c r="AI105" s="272"/>
      <c r="AJ105" s="272"/>
      <c r="AK105" s="272"/>
      <c r="AL105" s="223">
        <f t="shared" si="68"/>
        <v>0</v>
      </c>
      <c r="AM105" s="403"/>
      <c r="AN105" s="403"/>
      <c r="AO105" s="403"/>
      <c r="AP105" s="403"/>
      <c r="AQ105" s="403"/>
      <c r="AR105" s="223">
        <f t="shared" si="69"/>
        <v>0</v>
      </c>
      <c r="AS105" s="25">
        <f t="shared" si="70"/>
        <v>0</v>
      </c>
      <c r="AT105" s="26">
        <f t="shared" si="71"/>
        <v>0</v>
      </c>
      <c r="AU105" s="266" t="str">
        <f t="shared" si="72"/>
        <v/>
      </c>
    </row>
    <row r="106" spans="1:47" ht="15">
      <c r="A106" s="218" t="s">
        <v>6</v>
      </c>
      <c r="B106" s="160" t="s">
        <v>223</v>
      </c>
      <c r="C106" s="719">
        <v>90</v>
      </c>
      <c r="D106" s="719">
        <v>89</v>
      </c>
      <c r="E106" s="719">
        <v>69</v>
      </c>
      <c r="F106" s="719">
        <v>77</v>
      </c>
      <c r="G106" s="719">
        <v>108</v>
      </c>
      <c r="H106" s="223">
        <f t="shared" si="63"/>
        <v>433</v>
      </c>
      <c r="I106" s="232"/>
      <c r="J106" s="232"/>
      <c r="K106" s="232"/>
      <c r="L106" s="232"/>
      <c r="M106" s="232"/>
      <c r="N106" s="223">
        <f t="shared" si="64"/>
        <v>0</v>
      </c>
      <c r="O106" s="260"/>
      <c r="P106" s="260"/>
      <c r="Q106" s="260"/>
      <c r="R106" s="260"/>
      <c r="S106" s="260"/>
      <c r="T106" s="223">
        <f t="shared" si="65"/>
        <v>0</v>
      </c>
      <c r="U106" s="345"/>
      <c r="V106" s="345"/>
      <c r="W106" s="345"/>
      <c r="X106" s="345"/>
      <c r="Y106" s="345"/>
      <c r="Z106" s="223">
        <f t="shared" si="66"/>
        <v>0</v>
      </c>
      <c r="AA106" s="260"/>
      <c r="AB106" s="260"/>
      <c r="AC106" s="260"/>
      <c r="AD106" s="260"/>
      <c r="AE106" s="260"/>
      <c r="AF106" s="223">
        <f t="shared" si="67"/>
        <v>0</v>
      </c>
      <c r="AG106" s="232"/>
      <c r="AH106" s="232"/>
      <c r="AI106" s="232"/>
      <c r="AJ106" s="232"/>
      <c r="AK106" s="232"/>
      <c r="AL106" s="223">
        <f t="shared" si="68"/>
        <v>0</v>
      </c>
      <c r="AM106" s="31"/>
      <c r="AN106" s="31"/>
      <c r="AO106" s="31"/>
      <c r="AP106" s="31"/>
      <c r="AQ106" s="31"/>
      <c r="AR106" s="223">
        <f t="shared" si="69"/>
        <v>0</v>
      </c>
      <c r="AS106" s="25">
        <f t="shared" si="70"/>
        <v>433</v>
      </c>
      <c r="AT106" s="26">
        <f t="shared" si="71"/>
        <v>5</v>
      </c>
      <c r="AU106" s="266">
        <f t="shared" si="72"/>
        <v>86.6</v>
      </c>
    </row>
    <row r="107" spans="1:47" ht="15">
      <c r="A107" s="218" t="s">
        <v>6</v>
      </c>
      <c r="B107" s="160" t="s">
        <v>222</v>
      </c>
      <c r="C107" s="719">
        <v>159</v>
      </c>
      <c r="D107" s="719">
        <v>140</v>
      </c>
      <c r="E107" s="719">
        <v>137</v>
      </c>
      <c r="F107" s="719">
        <v>149</v>
      </c>
      <c r="G107" s="719">
        <v>171</v>
      </c>
      <c r="H107" s="223">
        <f t="shared" si="63"/>
        <v>756</v>
      </c>
      <c r="I107" s="232"/>
      <c r="J107" s="232"/>
      <c r="K107" s="232"/>
      <c r="L107" s="232"/>
      <c r="M107" s="232"/>
      <c r="N107" s="223">
        <f t="shared" si="64"/>
        <v>0</v>
      </c>
      <c r="O107" s="331"/>
      <c r="P107" s="331"/>
      <c r="Q107" s="331"/>
      <c r="R107" s="331"/>
      <c r="S107" s="331"/>
      <c r="T107" s="223">
        <f t="shared" si="65"/>
        <v>0</v>
      </c>
      <c r="U107" s="43"/>
      <c r="V107" s="30"/>
      <c r="W107" s="30"/>
      <c r="X107" s="30"/>
      <c r="Y107" s="30"/>
      <c r="Z107" s="223">
        <f t="shared" si="66"/>
        <v>0</v>
      </c>
      <c r="AA107" s="260"/>
      <c r="AB107" s="260"/>
      <c r="AC107" s="260"/>
      <c r="AD107" s="260"/>
      <c r="AE107" s="260"/>
      <c r="AF107" s="223">
        <f t="shared" si="67"/>
        <v>0</v>
      </c>
      <c r="AG107" s="272"/>
      <c r="AH107" s="272"/>
      <c r="AI107" s="272"/>
      <c r="AJ107" s="272"/>
      <c r="AK107" s="272"/>
      <c r="AL107" s="223">
        <f t="shared" si="68"/>
        <v>0</v>
      </c>
      <c r="AM107" s="38"/>
      <c r="AN107" s="38"/>
      <c r="AO107" s="38"/>
      <c r="AP107" s="38"/>
      <c r="AQ107" s="38"/>
      <c r="AR107" s="223">
        <f t="shared" si="69"/>
        <v>0</v>
      </c>
      <c r="AS107" s="25">
        <f t="shared" si="70"/>
        <v>756</v>
      </c>
      <c r="AT107" s="26">
        <f t="shared" si="71"/>
        <v>5</v>
      </c>
      <c r="AU107" s="266">
        <f t="shared" si="72"/>
        <v>151.19999999999999</v>
      </c>
    </row>
    <row r="108" spans="1:47" ht="15">
      <c r="A108" s="218" t="s">
        <v>6</v>
      </c>
      <c r="B108" s="161" t="s">
        <v>64</v>
      </c>
      <c r="C108" s="719">
        <v>116</v>
      </c>
      <c r="D108" s="719">
        <v>119</v>
      </c>
      <c r="E108" s="719">
        <v>176</v>
      </c>
      <c r="F108" s="719">
        <v>115</v>
      </c>
      <c r="G108" s="719">
        <v>149</v>
      </c>
      <c r="H108" s="223">
        <f t="shared" si="63"/>
        <v>675</v>
      </c>
      <c r="I108" s="227"/>
      <c r="J108" s="227"/>
      <c r="K108" s="227"/>
      <c r="L108" s="227"/>
      <c r="M108" s="227"/>
      <c r="N108" s="223">
        <f t="shared" si="64"/>
        <v>0</v>
      </c>
      <c r="O108" s="332"/>
      <c r="P108" s="332"/>
      <c r="Q108" s="332"/>
      <c r="R108" s="332"/>
      <c r="S108" s="332"/>
      <c r="T108" s="223">
        <f t="shared" si="65"/>
        <v>0</v>
      </c>
      <c r="U108" s="43"/>
      <c r="V108" s="30"/>
      <c r="W108" s="30"/>
      <c r="X108" s="30"/>
      <c r="Y108" s="30"/>
      <c r="Z108" s="223">
        <f t="shared" si="66"/>
        <v>0</v>
      </c>
      <c r="AA108" s="362"/>
      <c r="AB108" s="362"/>
      <c r="AC108" s="362"/>
      <c r="AD108" s="362"/>
      <c r="AE108" s="362"/>
      <c r="AF108" s="223">
        <f t="shared" si="67"/>
        <v>0</v>
      </c>
      <c r="AG108" s="397"/>
      <c r="AH108" s="397"/>
      <c r="AI108" s="397"/>
      <c r="AJ108" s="397"/>
      <c r="AK108" s="397"/>
      <c r="AL108" s="223">
        <f t="shared" si="68"/>
        <v>0</v>
      </c>
      <c r="AM108" s="403"/>
      <c r="AN108" s="403"/>
      <c r="AO108" s="403"/>
      <c r="AP108" s="403"/>
      <c r="AQ108" s="403"/>
      <c r="AR108" s="223">
        <f t="shared" si="69"/>
        <v>0</v>
      </c>
      <c r="AS108" s="25">
        <f t="shared" si="70"/>
        <v>675</v>
      </c>
      <c r="AT108" s="26">
        <f t="shared" si="71"/>
        <v>5</v>
      </c>
      <c r="AU108" s="266">
        <f t="shared" si="72"/>
        <v>135</v>
      </c>
    </row>
    <row r="109" spans="1:47" ht="15">
      <c r="A109" s="218" t="s">
        <v>6</v>
      </c>
      <c r="B109" s="160" t="s">
        <v>71</v>
      </c>
      <c r="C109" s="295"/>
      <c r="D109" s="295"/>
      <c r="E109" s="295"/>
      <c r="F109" s="295"/>
      <c r="G109" s="295"/>
      <c r="H109" s="223">
        <f t="shared" si="63"/>
        <v>0</v>
      </c>
      <c r="I109" s="224"/>
      <c r="J109" s="224"/>
      <c r="K109" s="224"/>
      <c r="L109" s="224"/>
      <c r="M109" s="224"/>
      <c r="N109" s="223">
        <f t="shared" si="64"/>
        <v>0</v>
      </c>
      <c r="O109" s="333"/>
      <c r="P109" s="333"/>
      <c r="Q109" s="333"/>
      <c r="R109" s="333"/>
      <c r="S109" s="333"/>
      <c r="T109" s="223">
        <f t="shared" si="65"/>
        <v>0</v>
      </c>
      <c r="U109" s="345"/>
      <c r="V109" s="345"/>
      <c r="W109" s="345"/>
      <c r="X109" s="345"/>
      <c r="Y109" s="345"/>
      <c r="Z109" s="223">
        <f t="shared" si="66"/>
        <v>0</v>
      </c>
      <c r="AA109" s="260"/>
      <c r="AB109" s="260"/>
      <c r="AC109" s="260"/>
      <c r="AD109" s="260"/>
      <c r="AE109" s="260"/>
      <c r="AF109" s="223">
        <f t="shared" si="67"/>
        <v>0</v>
      </c>
      <c r="AG109" s="227"/>
      <c r="AH109" s="227"/>
      <c r="AI109" s="227"/>
      <c r="AJ109" s="227"/>
      <c r="AK109" s="227"/>
      <c r="AL109" s="223">
        <f t="shared" si="68"/>
        <v>0</v>
      </c>
      <c r="AM109" s="38"/>
      <c r="AN109" s="38"/>
      <c r="AO109" s="38"/>
      <c r="AP109" s="38"/>
      <c r="AQ109" s="38"/>
      <c r="AR109" s="223">
        <f t="shared" si="69"/>
        <v>0</v>
      </c>
      <c r="AS109" s="25">
        <f t="shared" ref="AS109:AS114" si="73">SUM(N109,H109,T109,Z109,AF109,AL109,AR109)</f>
        <v>0</v>
      </c>
      <c r="AT109" s="26">
        <f t="shared" ref="AT109:AT114" si="74">COUNT(C109:G109,I109:M109,O109:S109,U109:Y109,AA109:AE109,AG109:AK109,AM109:AQ109)</f>
        <v>0</v>
      </c>
      <c r="AU109" s="266" t="str">
        <f t="shared" ref="AU109:AU114" si="75">IF(AT109=0,"",AS109/AT109)</f>
        <v/>
      </c>
    </row>
    <row r="110" spans="1:47" ht="15">
      <c r="A110" s="218" t="s">
        <v>6</v>
      </c>
      <c r="B110" s="160" t="s">
        <v>97</v>
      </c>
      <c r="C110" s="719">
        <v>133</v>
      </c>
      <c r="D110" s="719">
        <v>162</v>
      </c>
      <c r="E110" s="719">
        <v>207</v>
      </c>
      <c r="F110" s="719">
        <v>176</v>
      </c>
      <c r="G110" s="719">
        <v>179</v>
      </c>
      <c r="H110" s="223">
        <f t="shared" si="63"/>
        <v>857</v>
      </c>
      <c r="I110" s="224"/>
      <c r="J110" s="224"/>
      <c r="K110" s="224"/>
      <c r="L110" s="224"/>
      <c r="M110" s="224"/>
      <c r="N110" s="223">
        <f t="shared" si="64"/>
        <v>0</v>
      </c>
      <c r="O110" s="330"/>
      <c r="P110" s="330"/>
      <c r="Q110" s="330"/>
      <c r="R110" s="330"/>
      <c r="S110" s="330"/>
      <c r="T110" s="223">
        <f t="shared" si="65"/>
        <v>0</v>
      </c>
      <c r="U110" s="345"/>
      <c r="V110" s="345"/>
      <c r="W110" s="345"/>
      <c r="X110" s="345"/>
      <c r="Y110" s="345"/>
      <c r="Z110" s="223">
        <f t="shared" si="66"/>
        <v>0</v>
      </c>
      <c r="AA110" s="261"/>
      <c r="AB110" s="261"/>
      <c r="AC110" s="261"/>
      <c r="AD110" s="261"/>
      <c r="AE110" s="261"/>
      <c r="AF110" s="223">
        <f t="shared" si="67"/>
        <v>0</v>
      </c>
      <c r="AG110" s="227"/>
      <c r="AH110" s="227"/>
      <c r="AI110" s="227"/>
      <c r="AJ110" s="227"/>
      <c r="AK110" s="227"/>
      <c r="AL110" s="223">
        <f t="shared" si="68"/>
        <v>0</v>
      </c>
      <c r="AM110" s="38"/>
      <c r="AN110" s="38"/>
      <c r="AO110" s="38"/>
      <c r="AP110" s="38"/>
      <c r="AQ110" s="38"/>
      <c r="AR110" s="223">
        <f t="shared" si="69"/>
        <v>0</v>
      </c>
      <c r="AS110" s="25">
        <f t="shared" si="73"/>
        <v>857</v>
      </c>
      <c r="AT110" s="26">
        <f t="shared" si="74"/>
        <v>5</v>
      </c>
      <c r="AU110" s="266">
        <f t="shared" si="75"/>
        <v>171.4</v>
      </c>
    </row>
    <row r="111" spans="1:47" ht="15">
      <c r="A111" s="218" t="s">
        <v>6</v>
      </c>
      <c r="B111" s="722" t="s">
        <v>59</v>
      </c>
      <c r="C111" s="719">
        <v>91</v>
      </c>
      <c r="D111" s="719">
        <v>132</v>
      </c>
      <c r="E111" s="719">
        <v>172</v>
      </c>
      <c r="F111" s="719">
        <v>190</v>
      </c>
      <c r="G111" s="719">
        <v>163</v>
      </c>
      <c r="H111" s="223">
        <f t="shared" si="63"/>
        <v>748</v>
      </c>
      <c r="I111" s="319"/>
      <c r="J111" s="319"/>
      <c r="K111" s="319"/>
      <c r="L111" s="319"/>
      <c r="M111" s="319"/>
      <c r="N111" s="223">
        <f t="shared" si="64"/>
        <v>0</v>
      </c>
      <c r="O111" s="332"/>
      <c r="P111" s="332"/>
      <c r="Q111" s="332"/>
      <c r="R111" s="332"/>
      <c r="S111" s="332"/>
      <c r="T111" s="223">
        <f t="shared" si="65"/>
        <v>0</v>
      </c>
      <c r="U111" s="43"/>
      <c r="V111" s="31"/>
      <c r="W111" s="31"/>
      <c r="X111" s="31"/>
      <c r="Y111" s="31"/>
      <c r="Z111" s="223">
        <f t="shared" si="66"/>
        <v>0</v>
      </c>
      <c r="AA111" s="362"/>
      <c r="AB111" s="362"/>
      <c r="AC111" s="362"/>
      <c r="AD111" s="362"/>
      <c r="AE111" s="362"/>
      <c r="AF111" s="223">
        <f t="shared" si="67"/>
        <v>0</v>
      </c>
      <c r="AG111" s="397"/>
      <c r="AH111" s="397"/>
      <c r="AI111" s="397"/>
      <c r="AJ111" s="397"/>
      <c r="AK111" s="397"/>
      <c r="AL111" s="223">
        <f t="shared" si="68"/>
        <v>0</v>
      </c>
      <c r="AM111" s="403"/>
      <c r="AN111" s="403"/>
      <c r="AO111" s="403"/>
      <c r="AP111" s="403"/>
      <c r="AQ111" s="403"/>
      <c r="AR111" s="223">
        <f t="shared" si="69"/>
        <v>0</v>
      </c>
      <c r="AS111" s="25">
        <f t="shared" si="73"/>
        <v>748</v>
      </c>
      <c r="AT111" s="26">
        <f t="shared" si="74"/>
        <v>5</v>
      </c>
      <c r="AU111" s="266">
        <f t="shared" si="75"/>
        <v>149.6</v>
      </c>
    </row>
    <row r="112" spans="1:47" ht="15">
      <c r="A112" s="218" t="s">
        <v>6</v>
      </c>
      <c r="B112" s="160" t="s">
        <v>99</v>
      </c>
      <c r="C112" s="43"/>
      <c r="D112" s="43"/>
      <c r="E112" s="43"/>
      <c r="F112" s="43"/>
      <c r="G112" s="43"/>
      <c r="H112" s="223">
        <f t="shared" si="63"/>
        <v>0</v>
      </c>
      <c r="I112" s="227"/>
      <c r="J112" s="227"/>
      <c r="K112" s="227"/>
      <c r="L112" s="227"/>
      <c r="M112" s="227"/>
      <c r="N112" s="223">
        <f t="shared" si="64"/>
        <v>0</v>
      </c>
      <c r="O112" s="332"/>
      <c r="P112" s="332"/>
      <c r="Q112" s="332"/>
      <c r="R112" s="332"/>
      <c r="S112" s="332"/>
      <c r="T112" s="223">
        <f t="shared" ref="T112:T118" si="76">SUM(O112+P112+Q112+R112+S112)</f>
        <v>0</v>
      </c>
      <c r="U112" s="260"/>
      <c r="V112" s="260"/>
      <c r="W112" s="260"/>
      <c r="X112" s="260"/>
      <c r="Y112" s="260"/>
      <c r="Z112" s="223">
        <f t="shared" ref="Z112:Z118" si="77">SUM(U112+V112+W112+X112+Y112)</f>
        <v>0</v>
      </c>
      <c r="AA112" s="43"/>
      <c r="AB112" s="43"/>
      <c r="AC112" s="43"/>
      <c r="AD112" s="43"/>
      <c r="AE112" s="43"/>
      <c r="AF112" s="223">
        <f t="shared" ref="AF112:AF118" si="78">SUM(AA112+AB112+AC112+AD112+AE112)</f>
        <v>0</v>
      </c>
      <c r="AG112" s="232"/>
      <c r="AH112" s="232"/>
      <c r="AI112" s="232"/>
      <c r="AJ112" s="232"/>
      <c r="AK112" s="232"/>
      <c r="AL112" s="223">
        <f t="shared" ref="AL112:AL118" si="79">SUM(AG112+AH112+AI112+AJ112+AK112)</f>
        <v>0</v>
      </c>
      <c r="AM112" s="31"/>
      <c r="AN112" s="31"/>
      <c r="AO112" s="31"/>
      <c r="AP112" s="31"/>
      <c r="AQ112" s="31"/>
      <c r="AR112" s="223">
        <f t="shared" ref="AR112:AR118" si="80">SUM(AM112+AN112+AO112+AP112+AQ112)</f>
        <v>0</v>
      </c>
      <c r="AS112" s="25">
        <f t="shared" si="73"/>
        <v>0</v>
      </c>
      <c r="AT112" s="26">
        <f t="shared" si="74"/>
        <v>0</v>
      </c>
      <c r="AU112" s="266" t="str">
        <f t="shared" si="75"/>
        <v/>
      </c>
    </row>
    <row r="113" spans="1:47" ht="15">
      <c r="A113" s="218" t="s">
        <v>6</v>
      </c>
      <c r="B113" s="160" t="s">
        <v>95</v>
      </c>
      <c r="C113" s="294"/>
      <c r="D113" s="294"/>
      <c r="E113" s="294"/>
      <c r="F113" s="294"/>
      <c r="G113" s="294"/>
      <c r="H113" s="223">
        <f t="shared" si="63"/>
        <v>0</v>
      </c>
      <c r="I113" s="319"/>
      <c r="J113" s="319"/>
      <c r="K113" s="319"/>
      <c r="L113" s="319"/>
      <c r="M113" s="319"/>
      <c r="N113" s="223">
        <f t="shared" si="64"/>
        <v>0</v>
      </c>
      <c r="O113" s="331"/>
      <c r="P113" s="331"/>
      <c r="Q113" s="331"/>
      <c r="R113" s="331"/>
      <c r="S113" s="331"/>
      <c r="T113" s="223">
        <f t="shared" si="76"/>
        <v>0</v>
      </c>
      <c r="U113" s="43"/>
      <c r="V113" s="43"/>
      <c r="W113" s="43"/>
      <c r="X113" s="43"/>
      <c r="Y113" s="43"/>
      <c r="Z113" s="223">
        <f t="shared" si="77"/>
        <v>0</v>
      </c>
      <c r="AA113" s="262"/>
      <c r="AB113" s="262"/>
      <c r="AC113" s="262"/>
      <c r="AD113" s="262"/>
      <c r="AE113" s="262"/>
      <c r="AF113" s="223">
        <f t="shared" si="78"/>
        <v>0</v>
      </c>
      <c r="AG113" s="397"/>
      <c r="AH113" s="397"/>
      <c r="AI113" s="397"/>
      <c r="AJ113" s="397"/>
      <c r="AK113" s="397"/>
      <c r="AL113" s="223">
        <f t="shared" si="79"/>
        <v>0</v>
      </c>
      <c r="AM113" s="31"/>
      <c r="AN113" s="31"/>
      <c r="AO113" s="31"/>
      <c r="AP113" s="31"/>
      <c r="AQ113" s="31"/>
      <c r="AR113" s="223">
        <f t="shared" si="80"/>
        <v>0</v>
      </c>
      <c r="AS113" s="25">
        <f t="shared" si="73"/>
        <v>0</v>
      </c>
      <c r="AT113" s="26">
        <f t="shared" si="74"/>
        <v>0</v>
      </c>
      <c r="AU113" s="266" t="str">
        <f t="shared" si="75"/>
        <v/>
      </c>
    </row>
    <row r="114" spans="1:47" ht="15">
      <c r="A114" s="218" t="s">
        <v>6</v>
      </c>
      <c r="B114" s="160" t="s">
        <v>91</v>
      </c>
      <c r="C114" s="294"/>
      <c r="D114" s="294"/>
      <c r="E114" s="294"/>
      <c r="F114" s="294"/>
      <c r="G114" s="294"/>
      <c r="H114" s="223">
        <f t="shared" si="63"/>
        <v>0</v>
      </c>
      <c r="I114" s="319"/>
      <c r="J114" s="319"/>
      <c r="K114" s="319"/>
      <c r="L114" s="319"/>
      <c r="M114" s="319"/>
      <c r="N114" s="223">
        <f t="shared" si="64"/>
        <v>0</v>
      </c>
      <c r="O114" s="330"/>
      <c r="P114" s="330"/>
      <c r="Q114" s="330"/>
      <c r="R114" s="330"/>
      <c r="S114" s="330"/>
      <c r="T114" s="223">
        <f t="shared" si="76"/>
        <v>0</v>
      </c>
      <c r="U114" s="345"/>
      <c r="V114" s="345"/>
      <c r="W114" s="345"/>
      <c r="X114" s="345"/>
      <c r="Y114" s="345"/>
      <c r="Z114" s="223">
        <f t="shared" si="77"/>
        <v>0</v>
      </c>
      <c r="AA114" s="362"/>
      <c r="AB114" s="362"/>
      <c r="AC114" s="362"/>
      <c r="AD114" s="362"/>
      <c r="AE114" s="362"/>
      <c r="AF114" s="223">
        <f t="shared" si="78"/>
        <v>0</v>
      </c>
      <c r="AG114" s="397"/>
      <c r="AH114" s="397"/>
      <c r="AI114" s="397"/>
      <c r="AJ114" s="397"/>
      <c r="AK114" s="397"/>
      <c r="AL114" s="223">
        <f t="shared" si="79"/>
        <v>0</v>
      </c>
      <c r="AM114" s="403"/>
      <c r="AN114" s="403"/>
      <c r="AO114" s="403"/>
      <c r="AP114" s="403"/>
      <c r="AQ114" s="403"/>
      <c r="AR114" s="223">
        <f t="shared" si="80"/>
        <v>0</v>
      </c>
      <c r="AS114" s="25">
        <f t="shared" si="73"/>
        <v>0</v>
      </c>
      <c r="AT114" s="26">
        <f t="shared" si="74"/>
        <v>0</v>
      </c>
      <c r="AU114" s="266" t="str">
        <f t="shared" si="75"/>
        <v/>
      </c>
    </row>
    <row r="115" spans="1:47" ht="15">
      <c r="A115" s="218" t="s">
        <v>6</v>
      </c>
      <c r="B115" s="160" t="s">
        <v>100</v>
      </c>
      <c r="C115" s="719">
        <v>112</v>
      </c>
      <c r="D115" s="719">
        <v>127</v>
      </c>
      <c r="E115" s="719">
        <v>97</v>
      </c>
      <c r="F115" s="719">
        <v>138</v>
      </c>
      <c r="G115" s="719">
        <v>111</v>
      </c>
      <c r="H115" s="223">
        <f t="shared" si="63"/>
        <v>585</v>
      </c>
      <c r="I115" s="319"/>
      <c r="J115" s="319"/>
      <c r="K115" s="319"/>
      <c r="L115" s="319"/>
      <c r="M115" s="319"/>
      <c r="N115" s="223">
        <f>SUM(I115+J115+K115+L115+M115)</f>
        <v>0</v>
      </c>
      <c r="O115" s="331"/>
      <c r="P115" s="331"/>
      <c r="Q115" s="331"/>
      <c r="R115" s="331"/>
      <c r="S115" s="331"/>
      <c r="T115" s="223">
        <f t="shared" si="76"/>
        <v>0</v>
      </c>
      <c r="U115" s="345"/>
      <c r="V115" s="345"/>
      <c r="W115" s="345"/>
      <c r="X115" s="345"/>
      <c r="Y115" s="345"/>
      <c r="Z115" s="223">
        <f t="shared" si="77"/>
        <v>0</v>
      </c>
      <c r="AA115" s="362"/>
      <c r="AB115" s="362"/>
      <c r="AC115" s="362"/>
      <c r="AD115" s="362"/>
      <c r="AE115" s="362"/>
      <c r="AF115" s="223">
        <f t="shared" si="78"/>
        <v>0</v>
      </c>
      <c r="AG115" s="397"/>
      <c r="AH115" s="397"/>
      <c r="AI115" s="397"/>
      <c r="AJ115" s="397"/>
      <c r="AK115" s="397"/>
      <c r="AL115" s="223">
        <f t="shared" si="79"/>
        <v>0</v>
      </c>
      <c r="AM115" s="31"/>
      <c r="AN115" s="31"/>
      <c r="AO115" s="31"/>
      <c r="AP115" s="31"/>
      <c r="AQ115" s="31"/>
      <c r="AR115" s="223">
        <f t="shared" si="80"/>
        <v>0</v>
      </c>
      <c r="AS115" s="25">
        <f>SUM(N115,H115,T115,Z115,AF115,AL115,AR115)</f>
        <v>585</v>
      </c>
      <c r="AT115" s="26">
        <f>COUNT(C115:G115,I115:M115,O115:S115,U115:Y115,AA115:AE115,AG115:AK115,AM115:AQ115)</f>
        <v>5</v>
      </c>
      <c r="AU115" s="266">
        <f>IF(AT115=0,"",AS115/AT115)</f>
        <v>117</v>
      </c>
    </row>
    <row r="116" spans="1:47" ht="15">
      <c r="A116" s="218" t="s">
        <v>6</v>
      </c>
      <c r="B116" s="160" t="s">
        <v>101</v>
      </c>
      <c r="C116" s="719">
        <v>157</v>
      </c>
      <c r="D116" s="719">
        <v>119</v>
      </c>
      <c r="E116" s="719">
        <v>139</v>
      </c>
      <c r="F116" s="719">
        <v>129</v>
      </c>
      <c r="G116" s="719">
        <v>166</v>
      </c>
      <c r="H116" s="223">
        <f t="shared" si="63"/>
        <v>710</v>
      </c>
      <c r="I116" s="319"/>
      <c r="J116" s="319"/>
      <c r="K116" s="319"/>
      <c r="L116" s="319"/>
      <c r="M116" s="319"/>
      <c r="N116" s="223">
        <f>SUM(I116+J116+K116+L116+M116)</f>
        <v>0</v>
      </c>
      <c r="O116" s="331"/>
      <c r="P116" s="331"/>
      <c r="Q116" s="331"/>
      <c r="R116" s="331"/>
      <c r="S116" s="331"/>
      <c r="T116" s="223">
        <f t="shared" si="76"/>
        <v>0</v>
      </c>
      <c r="U116" s="345"/>
      <c r="V116" s="345"/>
      <c r="W116" s="345"/>
      <c r="X116" s="345"/>
      <c r="Y116" s="345"/>
      <c r="Z116" s="223">
        <f t="shared" si="77"/>
        <v>0</v>
      </c>
      <c r="AA116" s="362"/>
      <c r="AB116" s="362"/>
      <c r="AC116" s="362"/>
      <c r="AD116" s="362"/>
      <c r="AE116" s="362"/>
      <c r="AF116" s="223">
        <f t="shared" si="78"/>
        <v>0</v>
      </c>
      <c r="AG116" s="397"/>
      <c r="AH116" s="397"/>
      <c r="AI116" s="397"/>
      <c r="AJ116" s="397"/>
      <c r="AK116" s="397"/>
      <c r="AL116" s="223">
        <f t="shared" si="79"/>
        <v>0</v>
      </c>
      <c r="AM116" s="403"/>
      <c r="AN116" s="403"/>
      <c r="AO116" s="403"/>
      <c r="AP116" s="403"/>
      <c r="AQ116" s="403"/>
      <c r="AR116" s="223">
        <f t="shared" si="80"/>
        <v>0</v>
      </c>
      <c r="AS116" s="25">
        <f>SUM(N116,H116,T116,Z116,AF116,AL116,AR116)</f>
        <v>710</v>
      </c>
      <c r="AT116" s="26">
        <f>COUNT(C116:G116,I116:M116,O116:S116,U116:Y116,AA116:AE116,AG116:AK116,AM116:AQ116)</f>
        <v>5</v>
      </c>
      <c r="AU116" s="266">
        <f>IF(AT116=0,"",AS116/AT116)</f>
        <v>142</v>
      </c>
    </row>
    <row r="117" spans="1:47" ht="15">
      <c r="A117" s="218" t="s">
        <v>6</v>
      </c>
      <c r="B117" s="264" t="s">
        <v>157</v>
      </c>
      <c r="C117" s="294"/>
      <c r="D117" s="294"/>
      <c r="E117" s="294"/>
      <c r="F117" s="294"/>
      <c r="G117" s="294"/>
      <c r="H117" s="223">
        <f t="shared" si="63"/>
        <v>0</v>
      </c>
      <c r="I117" s="319"/>
      <c r="J117" s="319"/>
      <c r="K117" s="319"/>
      <c r="L117" s="319"/>
      <c r="M117" s="319"/>
      <c r="N117" s="223">
        <f>SUM(I117+J117+K117+L117+M117)</f>
        <v>0</v>
      </c>
      <c r="O117" s="331"/>
      <c r="P117" s="331"/>
      <c r="Q117" s="331"/>
      <c r="R117" s="331"/>
      <c r="S117" s="331"/>
      <c r="T117" s="223">
        <f t="shared" si="76"/>
        <v>0</v>
      </c>
      <c r="U117" s="345"/>
      <c r="V117" s="345"/>
      <c r="W117" s="345"/>
      <c r="X117" s="345"/>
      <c r="Y117" s="345"/>
      <c r="Z117" s="223">
        <f t="shared" si="77"/>
        <v>0</v>
      </c>
      <c r="AA117" s="261"/>
      <c r="AB117" s="261"/>
      <c r="AC117" s="261"/>
      <c r="AD117" s="261"/>
      <c r="AE117" s="261"/>
      <c r="AF117" s="223">
        <f t="shared" si="78"/>
        <v>0</v>
      </c>
      <c r="AG117" s="272"/>
      <c r="AH117" s="272"/>
      <c r="AI117" s="272"/>
      <c r="AJ117" s="272"/>
      <c r="AK117" s="272"/>
      <c r="AL117" s="223">
        <f t="shared" si="79"/>
        <v>0</v>
      </c>
      <c r="AM117" s="38"/>
      <c r="AN117" s="38"/>
      <c r="AO117" s="38"/>
      <c r="AP117" s="38"/>
      <c r="AQ117" s="38"/>
      <c r="AR117" s="223">
        <f t="shared" si="80"/>
        <v>0</v>
      </c>
      <c r="AS117" s="25">
        <f>SUM(N117,H117,T117,Z117,AF117,AL117,AR117)</f>
        <v>0</v>
      </c>
      <c r="AT117" s="26">
        <f>COUNT(C117:G117,I117:M117,O117:S117,U117:Y117,AA117:AE117,AG117:AK117,AM117:AQ117)</f>
        <v>0</v>
      </c>
      <c r="AU117" s="266" t="str">
        <f>IF(AT117=0,"",AS117/AT117)</f>
        <v/>
      </c>
    </row>
    <row r="118" spans="1:47" ht="15">
      <c r="A118" s="218" t="s">
        <v>6</v>
      </c>
      <c r="B118" s="264" t="s">
        <v>167</v>
      </c>
      <c r="C118" s="31"/>
      <c r="D118" s="30"/>
      <c r="E118" s="30"/>
      <c r="F118" s="30"/>
      <c r="G118" s="30"/>
      <c r="H118" s="223">
        <f>SUM(C118+D118+E118+F118+G118)</f>
        <v>0</v>
      </c>
      <c r="I118" s="234"/>
      <c r="J118" s="234"/>
      <c r="K118" s="234"/>
      <c r="L118" s="234"/>
      <c r="M118" s="234"/>
      <c r="N118" s="223">
        <f>SUM(I118+J118+K118+L118+M118)</f>
        <v>0</v>
      </c>
      <c r="O118" s="331"/>
      <c r="P118" s="331"/>
      <c r="Q118" s="331"/>
      <c r="R118" s="331"/>
      <c r="S118" s="331"/>
      <c r="T118" s="223">
        <f t="shared" si="76"/>
        <v>0</v>
      </c>
      <c r="U118" s="345"/>
      <c r="V118" s="345"/>
      <c r="W118" s="345"/>
      <c r="X118" s="345"/>
      <c r="Y118" s="345"/>
      <c r="Z118" s="223">
        <f t="shared" si="77"/>
        <v>0</v>
      </c>
      <c r="AA118" s="233"/>
      <c r="AB118" s="233"/>
      <c r="AC118" s="233"/>
      <c r="AD118" s="233"/>
      <c r="AE118" s="233"/>
      <c r="AF118" s="223">
        <f t="shared" si="78"/>
        <v>0</v>
      </c>
      <c r="AG118" s="227"/>
      <c r="AH118" s="227"/>
      <c r="AI118" s="227"/>
      <c r="AJ118" s="227"/>
      <c r="AK118" s="227"/>
      <c r="AL118" s="223">
        <f t="shared" si="79"/>
        <v>0</v>
      </c>
      <c r="AM118" s="31"/>
      <c r="AN118" s="31"/>
      <c r="AO118" s="31"/>
      <c r="AP118" s="31"/>
      <c r="AQ118" s="31"/>
      <c r="AR118" s="223">
        <f t="shared" si="80"/>
        <v>0</v>
      </c>
      <c r="AS118" s="25">
        <f>SUM(N118,H118,T118,Z118,AF118,AL118,AR118)</f>
        <v>0</v>
      </c>
      <c r="AT118" s="26">
        <f>COUNT(C118:G118,I118:M118,O118:S118,U118:Y118,AA118:AE118,AG118:AK118,AM118:AQ118)</f>
        <v>0</v>
      </c>
      <c r="AU118" s="266" t="str">
        <f>IF(AT118=0,"",AS118/AT118)</f>
        <v/>
      </c>
    </row>
    <row r="119" spans="1:47">
      <c r="A119" s="190"/>
      <c r="B119" s="162"/>
      <c r="C119" s="43"/>
      <c r="D119" s="43"/>
      <c r="E119" s="43"/>
      <c r="F119" s="43"/>
      <c r="G119" s="46"/>
      <c r="H119" s="235"/>
      <c r="I119" s="226"/>
      <c r="J119" s="226"/>
      <c r="K119" s="226"/>
      <c r="L119" s="226"/>
      <c r="M119" s="226"/>
      <c r="N119" s="236"/>
      <c r="O119" s="232"/>
      <c r="P119" s="232"/>
      <c r="Q119" s="232"/>
      <c r="R119" s="232"/>
      <c r="S119" s="232"/>
      <c r="T119" s="236"/>
      <c r="U119" s="237"/>
      <c r="V119" s="237"/>
      <c r="W119" s="237"/>
      <c r="X119" s="237"/>
      <c r="Y119" s="237"/>
      <c r="Z119" s="236"/>
      <c r="AA119" s="232"/>
      <c r="AB119" s="232"/>
      <c r="AC119" s="232"/>
      <c r="AD119" s="232"/>
      <c r="AE119" s="232"/>
      <c r="AF119" s="236"/>
      <c r="AG119" s="232"/>
      <c r="AH119" s="232"/>
      <c r="AI119" s="232"/>
      <c r="AJ119" s="232"/>
      <c r="AK119" s="232"/>
      <c r="AL119" s="236"/>
      <c r="AM119" s="232"/>
      <c r="AN119" s="232"/>
      <c r="AO119" s="232"/>
      <c r="AP119" s="232"/>
      <c r="AQ119" s="232"/>
      <c r="AR119" s="236"/>
      <c r="AS119" s="22"/>
      <c r="AT119" s="23"/>
      <c r="AU119" s="268"/>
    </row>
    <row r="120" spans="1:47" ht="15.75" thickBot="1">
      <c r="A120" s="191"/>
      <c r="B120" s="219"/>
      <c r="C120" s="220"/>
      <c r="D120" s="220"/>
      <c r="E120" s="220"/>
      <c r="F120" s="220"/>
      <c r="G120" s="220"/>
      <c r="H120" s="220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221">
        <f>SUM(AS99:AS119)</f>
        <v>6824</v>
      </c>
      <c r="AT120" s="177">
        <f>SUM(AT99:AT119)</f>
        <v>50</v>
      </c>
      <c r="AU120" s="179">
        <f>IF(AT120=0,"",AS120/AT120)</f>
        <v>136.47999999999999</v>
      </c>
    </row>
    <row r="125" spans="1:47">
      <c r="B125" s="27" t="s">
        <v>19</v>
      </c>
    </row>
  </sheetData>
  <mergeCells count="7">
    <mergeCell ref="AM1:AQ1"/>
    <mergeCell ref="C1:G1"/>
    <mergeCell ref="I1:M1"/>
    <mergeCell ref="O1:S1"/>
    <mergeCell ref="U1:Y1"/>
    <mergeCell ref="AA1:AE1"/>
    <mergeCell ref="AG1:AK1"/>
  </mergeCells>
  <phoneticPr fontId="0" type="noConversion"/>
  <hyperlinks>
    <hyperlink ref="AV1" location="turnaje!A1" display="Zpět"/>
  </hyperlink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rgb="FF00B050"/>
  </sheetPr>
  <dimension ref="A1:Q125"/>
  <sheetViews>
    <sheetView showGridLines="0" showRowColHeaders="0" tabSelected="1" workbookViewId="0">
      <pane ySplit="1" topLeftCell="A2" activePane="bottomLeft" state="frozen"/>
      <selection pane="bottomLeft" activeCell="Q1" sqref="Q1"/>
    </sheetView>
  </sheetViews>
  <sheetFormatPr defaultRowHeight="12.75"/>
  <cols>
    <col min="1" max="1" width="9.28515625" style="124" bestFit="1" customWidth="1"/>
    <col min="2" max="2" width="21.7109375" customWidth="1"/>
    <col min="3" max="3" width="5.7109375" customWidth="1"/>
    <col min="4" max="9" width="5.7109375" style="7" customWidth="1"/>
    <col min="10" max="10" width="7.5703125" customWidth="1"/>
    <col min="11" max="11" width="4" customWidth="1"/>
    <col min="12" max="12" width="7.5703125" customWidth="1"/>
    <col min="13" max="13" width="1.7109375" customWidth="1"/>
    <col min="14" max="14" width="9.28515625" bestFit="1" customWidth="1"/>
    <col min="15" max="15" width="15.28515625" customWidth="1"/>
    <col min="16" max="16" width="16.28515625" customWidth="1"/>
  </cols>
  <sheetData>
    <row r="1" spans="1:17" ht="19.5" customHeight="1">
      <c r="A1" s="108"/>
      <c r="B1" s="109" t="s">
        <v>150</v>
      </c>
      <c r="C1" s="110" t="s">
        <v>182</v>
      </c>
      <c r="D1" s="718" t="s">
        <v>191</v>
      </c>
      <c r="E1" s="112" t="s">
        <v>53</v>
      </c>
      <c r="F1" s="112" t="s">
        <v>192</v>
      </c>
      <c r="G1" s="111"/>
      <c r="H1" s="112"/>
      <c r="I1" s="112"/>
      <c r="J1" s="10" t="s">
        <v>47</v>
      </c>
      <c r="K1" s="11"/>
      <c r="L1" s="12" t="s">
        <v>50</v>
      </c>
      <c r="N1" s="106" t="s">
        <v>46</v>
      </c>
      <c r="O1" s="107" t="s">
        <v>51</v>
      </c>
      <c r="P1" s="107" t="s">
        <v>52</v>
      </c>
      <c r="Q1" s="694" t="s">
        <v>155</v>
      </c>
    </row>
    <row r="2" spans="1:17" s="6" customFormat="1" ht="15" customHeight="1">
      <c r="A2" s="118" t="s">
        <v>39</v>
      </c>
      <c r="B2" s="15" t="s">
        <v>62</v>
      </c>
      <c r="C2" s="13">
        <f>zápis!H5</f>
        <v>0</v>
      </c>
      <c r="D2" s="14">
        <f>zápis!N5</f>
        <v>0</v>
      </c>
      <c r="E2" s="14">
        <f>zápis!T5</f>
        <v>0</v>
      </c>
      <c r="F2" s="14">
        <f>zápis!Z5</f>
        <v>0</v>
      </c>
      <c r="G2" s="14">
        <f>zápis!AF5</f>
        <v>0</v>
      </c>
      <c r="H2" s="14">
        <f>zápis!AL5</f>
        <v>0</v>
      </c>
      <c r="I2" s="14">
        <f>zápis!AR5</f>
        <v>0</v>
      </c>
      <c r="J2" s="8">
        <f t="shared" ref="J2:J16" si="0">SUM(C2:I2)</f>
        <v>0</v>
      </c>
      <c r="K2" s="9">
        <f>zápis!AT5</f>
        <v>0</v>
      </c>
      <c r="L2" s="21" t="str">
        <f t="shared" ref="L2:L16" si="1">IF(K2=0,"",J2/K2)</f>
        <v/>
      </c>
      <c r="N2" s="245" t="s">
        <v>5</v>
      </c>
      <c r="O2" s="246">
        <f>zápis!$AU$48</f>
        <v>147.84</v>
      </c>
      <c r="P2" s="246">
        <f>IF(O2="","",SUM(O2*5))</f>
        <v>739.2</v>
      </c>
    </row>
    <row r="3" spans="1:17" s="6" customFormat="1" ht="15" customHeight="1">
      <c r="A3" s="118" t="s">
        <v>39</v>
      </c>
      <c r="B3" s="15" t="s">
        <v>42</v>
      </c>
      <c r="C3" s="13">
        <f>zápis!H2</f>
        <v>0</v>
      </c>
      <c r="D3" s="14">
        <f>zápis!N2</f>
        <v>0</v>
      </c>
      <c r="E3" s="14">
        <f>zápis!T2</f>
        <v>0</v>
      </c>
      <c r="F3" s="14">
        <f>zápis!Z2</f>
        <v>0</v>
      </c>
      <c r="G3" s="14">
        <f>zápis!AF2</f>
        <v>0</v>
      </c>
      <c r="H3" s="14">
        <f>zápis!AL2</f>
        <v>0</v>
      </c>
      <c r="I3" s="14">
        <f>zápis!AR2</f>
        <v>0</v>
      </c>
      <c r="J3" s="8">
        <f t="shared" si="0"/>
        <v>0</v>
      </c>
      <c r="K3" s="9">
        <f>zápis!AT2</f>
        <v>0</v>
      </c>
      <c r="L3" s="21" t="str">
        <f t="shared" si="1"/>
        <v/>
      </c>
      <c r="N3" s="247" t="s">
        <v>0</v>
      </c>
      <c r="O3" s="248">
        <f>zápis!$AU$97</f>
        <v>141.94999999999999</v>
      </c>
      <c r="P3" s="248">
        <f>IF(O3="","",SUM(O3*5))</f>
        <v>709.75</v>
      </c>
    </row>
    <row r="4" spans="1:17" s="6" customFormat="1" ht="15" customHeight="1">
      <c r="A4" s="118" t="s">
        <v>39</v>
      </c>
      <c r="B4" s="15" t="s">
        <v>61</v>
      </c>
      <c r="C4" s="13">
        <f>zápis!H4</f>
        <v>0</v>
      </c>
      <c r="D4" s="14">
        <f>zápis!N4</f>
        <v>0</v>
      </c>
      <c r="E4" s="14">
        <f>zápis!T4</f>
        <v>0</v>
      </c>
      <c r="F4" s="14">
        <f>zápis!Z4</f>
        <v>0</v>
      </c>
      <c r="G4" s="14">
        <f>zápis!AF4</f>
        <v>0</v>
      </c>
      <c r="H4" s="14">
        <f>zápis!AL4</f>
        <v>0</v>
      </c>
      <c r="I4" s="14">
        <f>zápis!AR4</f>
        <v>0</v>
      </c>
      <c r="J4" s="8">
        <f t="shared" si="0"/>
        <v>0</v>
      </c>
      <c r="K4" s="9">
        <f>zápis!AT4</f>
        <v>0</v>
      </c>
      <c r="L4" s="21" t="str">
        <f t="shared" si="1"/>
        <v/>
      </c>
      <c r="N4" s="251" t="s">
        <v>16</v>
      </c>
      <c r="O4" s="252">
        <f>zápis!$AU$31</f>
        <v>139.24444444444444</v>
      </c>
      <c r="P4" s="252">
        <f>IF(O4="","",SUM(O4*5))</f>
        <v>696.22222222222217</v>
      </c>
    </row>
    <row r="5" spans="1:17" s="6" customFormat="1" ht="15" customHeight="1">
      <c r="A5" s="118" t="s">
        <v>39</v>
      </c>
      <c r="B5" s="15" t="s">
        <v>44</v>
      </c>
      <c r="C5" s="13">
        <f>zápis!H3</f>
        <v>0</v>
      </c>
      <c r="D5" s="14">
        <f>zápis!N3</f>
        <v>0</v>
      </c>
      <c r="E5" s="14">
        <f>zápis!T3</f>
        <v>0</v>
      </c>
      <c r="F5" s="14">
        <f>zápis!Z3</f>
        <v>0</v>
      </c>
      <c r="G5" s="14">
        <f>zápis!AF3</f>
        <v>0</v>
      </c>
      <c r="H5" s="14">
        <f>zápis!AL3</f>
        <v>0</v>
      </c>
      <c r="I5" s="14">
        <f>zápis!AR3</f>
        <v>0</v>
      </c>
      <c r="J5" s="8">
        <f t="shared" si="0"/>
        <v>0</v>
      </c>
      <c r="K5" s="9">
        <f>zápis!AT3</f>
        <v>0</v>
      </c>
      <c r="L5" s="21" t="str">
        <f t="shared" si="1"/>
        <v/>
      </c>
      <c r="N5" s="249" t="s">
        <v>6</v>
      </c>
      <c r="O5" s="250">
        <f>zápis!$AU$120</f>
        <v>136.47999999999999</v>
      </c>
      <c r="P5" s="250">
        <f>IF(O5="","",SUM(O5*5))</f>
        <v>682.4</v>
      </c>
    </row>
    <row r="6" spans="1:17" s="6" customFormat="1" ht="15" customHeight="1">
      <c r="A6" s="118" t="s">
        <v>39</v>
      </c>
      <c r="B6" s="15" t="s">
        <v>70</v>
      </c>
      <c r="C6" s="13">
        <f>zápis!H6</f>
        <v>0</v>
      </c>
      <c r="D6" s="14">
        <f>zápis!N6</f>
        <v>0</v>
      </c>
      <c r="E6" s="14">
        <f>zápis!T6</f>
        <v>0</v>
      </c>
      <c r="F6" s="14">
        <f>zápis!Z6</f>
        <v>0</v>
      </c>
      <c r="G6" s="14">
        <f>zápis!AF6</f>
        <v>0</v>
      </c>
      <c r="H6" s="14">
        <f>zápis!AL6</f>
        <v>0</v>
      </c>
      <c r="I6" s="14">
        <f>zápis!AR6</f>
        <v>0</v>
      </c>
      <c r="J6" s="8">
        <f t="shared" si="0"/>
        <v>0</v>
      </c>
      <c r="K6" s="9">
        <f>zápis!AT6</f>
        <v>0</v>
      </c>
      <c r="L6" s="21" t="str">
        <f t="shared" si="1"/>
        <v/>
      </c>
      <c r="N6" s="253" t="s">
        <v>3</v>
      </c>
      <c r="O6" s="254">
        <f>zápis!$AU$74</f>
        <v>136.13999999999999</v>
      </c>
      <c r="P6" s="254">
        <f>IF(O6="","",SUM(O6*5))</f>
        <v>680.69999999999993</v>
      </c>
    </row>
    <row r="7" spans="1:17" s="6" customFormat="1" ht="15" customHeight="1">
      <c r="A7" s="84" t="s">
        <v>16</v>
      </c>
      <c r="B7" s="17" t="s">
        <v>58</v>
      </c>
      <c r="C7" s="13">
        <f>zápis!H19</f>
        <v>829</v>
      </c>
      <c r="D7" s="14">
        <f>zápis!N19</f>
        <v>0</v>
      </c>
      <c r="E7" s="14">
        <f>zápis!T19</f>
        <v>0</v>
      </c>
      <c r="F7" s="14">
        <f>zápis!Z19</f>
        <v>0</v>
      </c>
      <c r="G7" s="14">
        <f>zápis!AF19</f>
        <v>0</v>
      </c>
      <c r="H7" s="14">
        <f>zápis!AL19</f>
        <v>0</v>
      </c>
      <c r="I7" s="14">
        <f>zápis!AR19</f>
        <v>0</v>
      </c>
      <c r="J7" s="8">
        <f t="shared" si="0"/>
        <v>829</v>
      </c>
      <c r="K7" s="9">
        <f>zápis!AT19</f>
        <v>5</v>
      </c>
      <c r="L7" s="21">
        <f t="shared" si="1"/>
        <v>165.8</v>
      </c>
      <c r="N7" s="255" t="s">
        <v>39</v>
      </c>
      <c r="O7" s="256"/>
      <c r="P7" s="254"/>
    </row>
    <row r="8" spans="1:17" s="6" customFormat="1" ht="15" customHeight="1">
      <c r="A8" s="84" t="s">
        <v>16</v>
      </c>
      <c r="B8" s="16" t="s">
        <v>1</v>
      </c>
      <c r="C8" s="13">
        <f>zápis!H10</f>
        <v>812</v>
      </c>
      <c r="D8" s="14">
        <f>zápis!N10</f>
        <v>0</v>
      </c>
      <c r="E8" s="14">
        <f>zápis!T10</f>
        <v>0</v>
      </c>
      <c r="F8" s="14">
        <f>zápis!Z10</f>
        <v>0</v>
      </c>
      <c r="G8" s="14">
        <f>zápis!AF10</f>
        <v>0</v>
      </c>
      <c r="H8" s="14">
        <f>zápis!AL10</f>
        <v>0</v>
      </c>
      <c r="I8" s="14">
        <f>zápis!AR10</f>
        <v>0</v>
      </c>
      <c r="J8" s="8">
        <f t="shared" si="0"/>
        <v>812</v>
      </c>
      <c r="K8" s="9">
        <f>zápis!AT10</f>
        <v>5</v>
      </c>
      <c r="L8" s="21">
        <f t="shared" si="1"/>
        <v>162.4</v>
      </c>
    </row>
    <row r="9" spans="1:17" s="6" customFormat="1" ht="15" customHeight="1">
      <c r="A9" s="84" t="s">
        <v>16</v>
      </c>
      <c r="B9" s="17" t="s">
        <v>140</v>
      </c>
      <c r="C9" s="13">
        <f>zápis!H24</f>
        <v>751</v>
      </c>
      <c r="D9" s="14">
        <f>zápis!N24</f>
        <v>0</v>
      </c>
      <c r="E9" s="14">
        <f>zápis!T24</f>
        <v>0</v>
      </c>
      <c r="F9" s="14">
        <f>zápis!Z24</f>
        <v>0</v>
      </c>
      <c r="G9" s="14">
        <f>zápis!AF24</f>
        <v>0</v>
      </c>
      <c r="H9" s="14">
        <f>zápis!AL24</f>
        <v>0</v>
      </c>
      <c r="I9" s="14">
        <f>zápis!AR24</f>
        <v>0</v>
      </c>
      <c r="J9" s="8">
        <f t="shared" si="0"/>
        <v>751</v>
      </c>
      <c r="K9" s="9">
        <f>zápis!AT24</f>
        <v>5</v>
      </c>
      <c r="L9" s="21">
        <f t="shared" si="1"/>
        <v>150.19999999999999</v>
      </c>
      <c r="M9" s="6" t="s">
        <v>19</v>
      </c>
    </row>
    <row r="10" spans="1:17" s="6" customFormat="1" ht="15" customHeight="1">
      <c r="A10" s="84" t="s">
        <v>16</v>
      </c>
      <c r="B10" s="17" t="s">
        <v>94</v>
      </c>
      <c r="C10" s="13">
        <f>zápis!H28</f>
        <v>712</v>
      </c>
      <c r="D10" s="14">
        <f>zápis!N28</f>
        <v>0</v>
      </c>
      <c r="E10" s="14">
        <f>zápis!T28</f>
        <v>0</v>
      </c>
      <c r="F10" s="14">
        <f>zápis!Z28</f>
        <v>0</v>
      </c>
      <c r="G10" s="14">
        <f>zápis!AF28</f>
        <v>0</v>
      </c>
      <c r="H10" s="14">
        <f>zápis!AL28</f>
        <v>0</v>
      </c>
      <c r="I10" s="14">
        <f>zápis!AR28</f>
        <v>0</v>
      </c>
      <c r="J10" s="8">
        <f t="shared" si="0"/>
        <v>712</v>
      </c>
      <c r="K10" s="9">
        <f>zápis!AT28</f>
        <v>5</v>
      </c>
      <c r="L10" s="21">
        <f t="shared" si="1"/>
        <v>142.4</v>
      </c>
    </row>
    <row r="11" spans="1:17" s="6" customFormat="1" ht="15" customHeight="1">
      <c r="A11" s="84" t="s">
        <v>16</v>
      </c>
      <c r="B11" s="16" t="s">
        <v>14</v>
      </c>
      <c r="C11" s="13">
        <f>zápis!H17</f>
        <v>694</v>
      </c>
      <c r="D11" s="14">
        <f>zápis!N17</f>
        <v>0</v>
      </c>
      <c r="E11" s="14">
        <f>zápis!T17</f>
        <v>0</v>
      </c>
      <c r="F11" s="14">
        <f>zápis!Z17</f>
        <v>0</v>
      </c>
      <c r="G11" s="14">
        <f>zápis!AF17</f>
        <v>0</v>
      </c>
      <c r="H11" s="14">
        <f>zápis!AL17</f>
        <v>0</v>
      </c>
      <c r="I11" s="14">
        <f>zápis!AR17</f>
        <v>0</v>
      </c>
      <c r="J11" s="8">
        <f t="shared" si="0"/>
        <v>694</v>
      </c>
      <c r="K11" s="9">
        <f>zápis!AT17</f>
        <v>5</v>
      </c>
      <c r="L11" s="21">
        <f t="shared" si="1"/>
        <v>138.80000000000001</v>
      </c>
    </row>
    <row r="12" spans="1:17" s="6" customFormat="1" ht="15" customHeight="1">
      <c r="A12" s="84" t="s">
        <v>16</v>
      </c>
      <c r="B12" s="16" t="s">
        <v>31</v>
      </c>
      <c r="C12" s="13">
        <f>zápis!H15</f>
        <v>679</v>
      </c>
      <c r="D12" s="14">
        <f>zápis!N15</f>
        <v>0</v>
      </c>
      <c r="E12" s="14">
        <f>zápis!T15</f>
        <v>0</v>
      </c>
      <c r="F12" s="14">
        <f>zápis!Z15</f>
        <v>0</v>
      </c>
      <c r="G12" s="14">
        <f>zápis!AF15</f>
        <v>0</v>
      </c>
      <c r="H12" s="14">
        <f>zápis!AL15</f>
        <v>0</v>
      </c>
      <c r="I12" s="14">
        <f>zápis!AR15</f>
        <v>0</v>
      </c>
      <c r="J12" s="8">
        <f t="shared" si="0"/>
        <v>679</v>
      </c>
      <c r="K12" s="9">
        <f>zápis!AT15</f>
        <v>5</v>
      </c>
      <c r="L12" s="21">
        <f t="shared" si="1"/>
        <v>135.80000000000001</v>
      </c>
    </row>
    <row r="13" spans="1:17" s="6" customFormat="1" ht="15" customHeight="1">
      <c r="A13" s="84" t="s">
        <v>16</v>
      </c>
      <c r="B13" s="16" t="s">
        <v>20</v>
      </c>
      <c r="C13" s="13">
        <f>zápis!H13</f>
        <v>667</v>
      </c>
      <c r="D13" s="14">
        <f>zápis!N13</f>
        <v>0</v>
      </c>
      <c r="E13" s="14">
        <f>zápis!T13</f>
        <v>0</v>
      </c>
      <c r="F13" s="14">
        <f>zápis!Z13</f>
        <v>0</v>
      </c>
      <c r="G13" s="14">
        <f>zápis!AF13</f>
        <v>0</v>
      </c>
      <c r="H13" s="14">
        <f>zápis!AL13</f>
        <v>0</v>
      </c>
      <c r="I13" s="14">
        <f>zápis!AR13</f>
        <v>0</v>
      </c>
      <c r="J13" s="8">
        <f t="shared" si="0"/>
        <v>667</v>
      </c>
      <c r="K13" s="9">
        <f>zápis!AT13</f>
        <v>5</v>
      </c>
      <c r="L13" s="21">
        <f t="shared" si="1"/>
        <v>133.4</v>
      </c>
    </row>
    <row r="14" spans="1:17" s="6" customFormat="1" ht="15" customHeight="1">
      <c r="A14" s="84" t="s">
        <v>16</v>
      </c>
      <c r="B14" s="17" t="s">
        <v>116</v>
      </c>
      <c r="C14" s="13">
        <f>zápis!H26</f>
        <v>622</v>
      </c>
      <c r="D14" s="14">
        <f>zápis!N26</f>
        <v>0</v>
      </c>
      <c r="E14" s="14">
        <f>zápis!T26</f>
        <v>0</v>
      </c>
      <c r="F14" s="14">
        <f>zápis!Z26</f>
        <v>0</v>
      </c>
      <c r="G14" s="14">
        <f>zápis!AF26</f>
        <v>0</v>
      </c>
      <c r="H14" s="14">
        <f>zápis!AL26</f>
        <v>0</v>
      </c>
      <c r="I14" s="14">
        <f>zápis!AR26</f>
        <v>0</v>
      </c>
      <c r="J14" s="8">
        <f t="shared" si="0"/>
        <v>622</v>
      </c>
      <c r="K14" s="9">
        <f>zápis!AT26</f>
        <v>5</v>
      </c>
      <c r="L14" s="21">
        <f t="shared" si="1"/>
        <v>124.4</v>
      </c>
    </row>
    <row r="15" spans="1:17" s="6" customFormat="1" ht="15" customHeight="1">
      <c r="A15" s="84" t="s">
        <v>16</v>
      </c>
      <c r="B15" s="16" t="s">
        <v>15</v>
      </c>
      <c r="C15" s="13">
        <f>zápis!H12</f>
        <v>606</v>
      </c>
      <c r="D15" s="14">
        <f>zápis!N12</f>
        <v>0</v>
      </c>
      <c r="E15" s="14">
        <f>zápis!T12</f>
        <v>0</v>
      </c>
      <c r="F15" s="14">
        <f>zápis!Z12</f>
        <v>0</v>
      </c>
      <c r="G15" s="14">
        <f>zápis!AF12</f>
        <v>0</v>
      </c>
      <c r="H15" s="14">
        <f>zápis!AL12</f>
        <v>0</v>
      </c>
      <c r="I15" s="14">
        <f>zápis!AR12</f>
        <v>0</v>
      </c>
      <c r="J15" s="8">
        <f t="shared" si="0"/>
        <v>606</v>
      </c>
      <c r="K15" s="9">
        <f>zápis!AT12</f>
        <v>5</v>
      </c>
      <c r="L15" s="21">
        <f t="shared" si="1"/>
        <v>121.2</v>
      </c>
    </row>
    <row r="16" spans="1:17" s="6" customFormat="1" ht="15" customHeight="1">
      <c r="A16" s="84" t="s">
        <v>16</v>
      </c>
      <c r="B16" s="17" t="s">
        <v>72</v>
      </c>
      <c r="C16" s="13">
        <f>zápis!H20</f>
        <v>606</v>
      </c>
      <c r="D16" s="14">
        <f>zápis!N20</f>
        <v>0</v>
      </c>
      <c r="E16" s="14">
        <f>zápis!T20</f>
        <v>0</v>
      </c>
      <c r="F16" s="14">
        <f>zápis!Z20</f>
        <v>0</v>
      </c>
      <c r="G16" s="14">
        <f>zápis!AF20</f>
        <v>0</v>
      </c>
      <c r="H16" s="14">
        <f>zápis!AL20</f>
        <v>0</v>
      </c>
      <c r="I16" s="14">
        <f>zápis!AR20</f>
        <v>0</v>
      </c>
      <c r="J16" s="8">
        <f t="shared" si="0"/>
        <v>606</v>
      </c>
      <c r="K16" s="9">
        <f>zápis!AT20</f>
        <v>5</v>
      </c>
      <c r="L16" s="21">
        <f t="shared" si="1"/>
        <v>121.2</v>
      </c>
    </row>
    <row r="17" spans="1:16" s="6" customFormat="1" ht="15" customHeight="1">
      <c r="A17" s="84" t="s">
        <v>16</v>
      </c>
      <c r="B17" s="84" t="s">
        <v>113</v>
      </c>
      <c r="C17" s="13">
        <f>zápis!H25</f>
        <v>0</v>
      </c>
      <c r="D17" s="14">
        <f>zápis!N25</f>
        <v>0</v>
      </c>
      <c r="E17" s="14">
        <f>zápis!T25</f>
        <v>0</v>
      </c>
      <c r="F17" s="14">
        <f>zápis!Z25</f>
        <v>0</v>
      </c>
      <c r="G17" s="14">
        <f>zápis!AF25</f>
        <v>0</v>
      </c>
      <c r="H17" s="14">
        <f>zápis!AL25</f>
        <v>0</v>
      </c>
      <c r="I17" s="14">
        <f>zápis!AR25</f>
        <v>0</v>
      </c>
      <c r="J17" s="8"/>
      <c r="K17" s="9"/>
      <c r="L17" s="21"/>
    </row>
    <row r="18" spans="1:16" s="6" customFormat="1" ht="15" customHeight="1">
      <c r="A18" s="84" t="s">
        <v>16</v>
      </c>
      <c r="B18" s="84" t="s">
        <v>169</v>
      </c>
      <c r="C18" s="13">
        <f>zápis!H23</f>
        <v>0</v>
      </c>
      <c r="D18" s="14">
        <f>zápis!N23</f>
        <v>0</v>
      </c>
      <c r="E18" s="14">
        <f>zápis!T23</f>
        <v>0</v>
      </c>
      <c r="F18" s="14">
        <f>zápis!Z23</f>
        <v>0</v>
      </c>
      <c r="G18" s="14">
        <f>zápis!AF23</f>
        <v>0</v>
      </c>
      <c r="H18" s="14">
        <f>zápis!AL23</f>
        <v>0</v>
      </c>
      <c r="I18" s="14">
        <f>zápis!AR23</f>
        <v>0</v>
      </c>
      <c r="J18" s="8"/>
      <c r="K18" s="9"/>
      <c r="L18" s="21"/>
    </row>
    <row r="19" spans="1:16" s="6" customFormat="1" ht="15" customHeight="1">
      <c r="A19" s="84" t="s">
        <v>16</v>
      </c>
      <c r="B19" s="723" t="s">
        <v>165</v>
      </c>
      <c r="C19" s="13">
        <f>zápis!H29</f>
        <v>0</v>
      </c>
      <c r="D19" s="14">
        <f>zápis!N29</f>
        <v>0</v>
      </c>
      <c r="E19" s="14">
        <f>zápis!T29</f>
        <v>0</v>
      </c>
      <c r="F19" s="14">
        <f>zápis!Z29</f>
        <v>0</v>
      </c>
      <c r="G19" s="14">
        <f>zápis!AF29</f>
        <v>0</v>
      </c>
      <c r="H19" s="14">
        <f>zápis!AL29</f>
        <v>0</v>
      </c>
      <c r="I19" s="14">
        <f>zápis!AR29</f>
        <v>0</v>
      </c>
      <c r="J19" s="8"/>
      <c r="K19" s="9"/>
      <c r="L19" s="21"/>
    </row>
    <row r="20" spans="1:16" s="6" customFormat="1" ht="15" customHeight="1">
      <c r="A20" s="84" t="s">
        <v>16</v>
      </c>
      <c r="B20" s="17" t="s">
        <v>89</v>
      </c>
      <c r="C20" s="13">
        <f>zápis!H27</f>
        <v>0</v>
      </c>
      <c r="D20" s="14">
        <f>zápis!N27</f>
        <v>0</v>
      </c>
      <c r="E20" s="14">
        <f>zápis!T27</f>
        <v>0</v>
      </c>
      <c r="F20" s="14">
        <f>zápis!Z27</f>
        <v>0</v>
      </c>
      <c r="G20" s="14">
        <f>zápis!AF27</f>
        <v>0</v>
      </c>
      <c r="H20" s="14">
        <f>zápis!AL27</f>
        <v>0</v>
      </c>
      <c r="I20" s="14">
        <f>zápis!AR27</f>
        <v>0</v>
      </c>
      <c r="J20" s="8"/>
      <c r="K20" s="9"/>
      <c r="L20" s="21"/>
    </row>
    <row r="21" spans="1:16" s="6" customFormat="1" ht="15" customHeight="1">
      <c r="A21" s="84" t="s">
        <v>16</v>
      </c>
      <c r="B21" s="93" t="s">
        <v>68</v>
      </c>
      <c r="C21" s="13">
        <f>zápis!H16</f>
        <v>0</v>
      </c>
      <c r="D21" s="14">
        <f>zápis!N16</f>
        <v>0</v>
      </c>
      <c r="E21" s="14">
        <f>zápis!T16</f>
        <v>0</v>
      </c>
      <c r="F21" s="14">
        <f>zápis!Z16</f>
        <v>0</v>
      </c>
      <c r="G21" s="14">
        <f>zápis!AF16</f>
        <v>0</v>
      </c>
      <c r="H21" s="14">
        <f>zápis!AL16</f>
        <v>0</v>
      </c>
      <c r="I21" s="14">
        <f>zápis!AR16</f>
        <v>0</v>
      </c>
      <c r="J21" s="8"/>
      <c r="K21" s="9"/>
      <c r="L21" s="21"/>
    </row>
    <row r="22" spans="1:16" s="6" customFormat="1" ht="15" customHeight="1">
      <c r="A22" s="84" t="s">
        <v>16</v>
      </c>
      <c r="B22" s="16" t="s">
        <v>32</v>
      </c>
      <c r="C22" s="13">
        <f>zápis!H14</f>
        <v>0</v>
      </c>
      <c r="D22" s="14">
        <f>zápis!N14</f>
        <v>0</v>
      </c>
      <c r="E22" s="14">
        <f>zápis!T14</f>
        <v>0</v>
      </c>
      <c r="F22" s="14">
        <f>zápis!Z14</f>
        <v>0</v>
      </c>
      <c r="G22" s="14">
        <f>zápis!AF14</f>
        <v>0</v>
      </c>
      <c r="H22" s="14">
        <f>zápis!AL14</f>
        <v>0</v>
      </c>
      <c r="I22" s="14">
        <f>zápis!AR14</f>
        <v>0</v>
      </c>
      <c r="J22" s="8"/>
      <c r="K22" s="9"/>
      <c r="L22" s="21"/>
    </row>
    <row r="23" spans="1:16" s="6" customFormat="1" ht="15" customHeight="1">
      <c r="A23" s="84" t="s">
        <v>16</v>
      </c>
      <c r="B23" s="17" t="s">
        <v>110</v>
      </c>
      <c r="C23" s="13">
        <f>zápis!H21</f>
        <v>0</v>
      </c>
      <c r="D23" s="14">
        <f>zápis!N21</f>
        <v>0</v>
      </c>
      <c r="E23" s="14">
        <f>zápis!T21</f>
        <v>0</v>
      </c>
      <c r="F23" s="14">
        <f>zápis!Z21</f>
        <v>0</v>
      </c>
      <c r="G23" s="14">
        <f>zápis!AF21</f>
        <v>0</v>
      </c>
      <c r="H23" s="14">
        <f>zápis!AL21</f>
        <v>0</v>
      </c>
      <c r="I23" s="14">
        <f>zápis!AR21</f>
        <v>0</v>
      </c>
      <c r="J23" s="8"/>
      <c r="K23" s="9"/>
      <c r="L23" s="21"/>
    </row>
    <row r="24" spans="1:16" s="6" customFormat="1" ht="15" customHeight="1">
      <c r="A24" s="84" t="s">
        <v>16</v>
      </c>
      <c r="B24" s="16" t="s">
        <v>11</v>
      </c>
      <c r="C24" s="13">
        <f>zápis!H11</f>
        <v>0</v>
      </c>
      <c r="D24" s="14">
        <f>zápis!N11</f>
        <v>0</v>
      </c>
      <c r="E24" s="14">
        <f>zápis!T11</f>
        <v>0</v>
      </c>
      <c r="F24" s="14">
        <f>zápis!Z11</f>
        <v>0</v>
      </c>
      <c r="G24" s="14">
        <f>zápis!AF11</f>
        <v>0</v>
      </c>
      <c r="H24" s="14">
        <f>zápis!AL11</f>
        <v>0</v>
      </c>
      <c r="I24" s="14">
        <f>zápis!AR11</f>
        <v>0</v>
      </c>
      <c r="J24" s="8"/>
      <c r="K24" s="9"/>
      <c r="L24" s="21"/>
    </row>
    <row r="25" spans="1:16" s="6" customFormat="1" ht="15" customHeight="1">
      <c r="A25" s="119" t="s">
        <v>5</v>
      </c>
      <c r="B25" s="259" t="s">
        <v>8</v>
      </c>
      <c r="C25" s="13">
        <f>zápis!H36</f>
        <v>852</v>
      </c>
      <c r="D25" s="14">
        <f>zápis!N36</f>
        <v>0</v>
      </c>
      <c r="E25" s="14">
        <f>zápis!T36</f>
        <v>0</v>
      </c>
      <c r="F25" s="14">
        <f>zápis!Z36</f>
        <v>0</v>
      </c>
      <c r="G25" s="14">
        <f>zápis!AF36</f>
        <v>0</v>
      </c>
      <c r="H25" s="14">
        <f>zápis!AL36</f>
        <v>0</v>
      </c>
      <c r="I25" s="14">
        <f>zápis!AR36</f>
        <v>0</v>
      </c>
      <c r="J25" s="8">
        <f t="shared" ref="J25:J34" si="2">SUM(C25:I25)</f>
        <v>852</v>
      </c>
      <c r="K25" s="9">
        <f>zápis!AT36</f>
        <v>5</v>
      </c>
      <c r="L25" s="21">
        <f t="shared" ref="L25:L34" si="3">IF(K25=0,"",J25/K25)</f>
        <v>170.4</v>
      </c>
    </row>
    <row r="26" spans="1:16" s="6" customFormat="1" ht="15" customHeight="1">
      <c r="A26" s="119" t="s">
        <v>5</v>
      </c>
      <c r="B26" s="62" t="s">
        <v>69</v>
      </c>
      <c r="C26" s="13">
        <f>zápis!H34</f>
        <v>757</v>
      </c>
      <c r="D26" s="14">
        <f>zápis!N34</f>
        <v>0</v>
      </c>
      <c r="E26" s="14">
        <f>zápis!T34</f>
        <v>0</v>
      </c>
      <c r="F26" s="14">
        <f>zápis!Z34</f>
        <v>0</v>
      </c>
      <c r="G26" s="14">
        <f>zápis!AF34</f>
        <v>0</v>
      </c>
      <c r="H26" s="14">
        <f>zápis!AL34</f>
        <v>0</v>
      </c>
      <c r="I26" s="14">
        <f>zápis!AR34</f>
        <v>0</v>
      </c>
      <c r="J26" s="8">
        <f t="shared" si="2"/>
        <v>757</v>
      </c>
      <c r="K26" s="9">
        <f>zápis!AT34</f>
        <v>5</v>
      </c>
      <c r="L26" s="21">
        <f t="shared" si="3"/>
        <v>151.4</v>
      </c>
    </row>
    <row r="27" spans="1:16" s="6" customFormat="1" ht="15" customHeight="1">
      <c r="A27" s="119" t="s">
        <v>5</v>
      </c>
      <c r="B27" s="80" t="s">
        <v>80</v>
      </c>
      <c r="C27" s="13">
        <f>zápis!H44</f>
        <v>749</v>
      </c>
      <c r="D27" s="14">
        <f>zápis!N44</f>
        <v>0</v>
      </c>
      <c r="E27" s="14">
        <f>zápis!T44</f>
        <v>0</v>
      </c>
      <c r="F27" s="14">
        <f>zápis!Z44</f>
        <v>0</v>
      </c>
      <c r="G27" s="14">
        <f>zápis!AF44</f>
        <v>0</v>
      </c>
      <c r="H27" s="14">
        <f>zápis!AL44</f>
        <v>0</v>
      </c>
      <c r="I27" s="14">
        <f>zápis!AR44</f>
        <v>0</v>
      </c>
      <c r="J27" s="8">
        <f t="shared" si="2"/>
        <v>749</v>
      </c>
      <c r="K27" s="9">
        <f>zápis!AT44</f>
        <v>5</v>
      </c>
      <c r="L27" s="21">
        <f t="shared" si="3"/>
        <v>149.80000000000001</v>
      </c>
      <c r="P27" s="6" t="s">
        <v>19</v>
      </c>
    </row>
    <row r="28" spans="1:16" s="6" customFormat="1" ht="15" customHeight="1">
      <c r="A28" s="119" t="s">
        <v>5</v>
      </c>
      <c r="B28" s="62" t="s">
        <v>159</v>
      </c>
      <c r="C28" s="13">
        <f>zápis!H39</f>
        <v>749</v>
      </c>
      <c r="D28" s="14">
        <f>zápis!N39</f>
        <v>0</v>
      </c>
      <c r="E28" s="14">
        <f>zápis!T39</f>
        <v>0</v>
      </c>
      <c r="F28" s="14">
        <f>zápis!Z39</f>
        <v>0</v>
      </c>
      <c r="G28" s="14">
        <f>zápis!AF39</f>
        <v>0</v>
      </c>
      <c r="H28" s="14">
        <f>zápis!AL39</f>
        <v>0</v>
      </c>
      <c r="I28" s="14">
        <f>zápis!AR39</f>
        <v>0</v>
      </c>
      <c r="J28" s="8">
        <f t="shared" si="2"/>
        <v>749</v>
      </c>
      <c r="K28" s="9">
        <f>zápis!AT39</f>
        <v>5</v>
      </c>
      <c r="L28" s="21">
        <f t="shared" si="3"/>
        <v>149.80000000000001</v>
      </c>
    </row>
    <row r="29" spans="1:16" s="6" customFormat="1" ht="15" customHeight="1">
      <c r="A29" s="119" t="s">
        <v>5</v>
      </c>
      <c r="B29" s="62" t="s">
        <v>4</v>
      </c>
      <c r="C29" s="13">
        <f>zápis!H33</f>
        <v>748</v>
      </c>
      <c r="D29" s="14">
        <f>zápis!N33</f>
        <v>0</v>
      </c>
      <c r="E29" s="14">
        <f>zápis!T33</f>
        <v>0</v>
      </c>
      <c r="F29" s="14">
        <f>zápis!Z33</f>
        <v>0</v>
      </c>
      <c r="G29" s="14">
        <f>zápis!AF33</f>
        <v>0</v>
      </c>
      <c r="H29" s="14">
        <f>zápis!AL33</f>
        <v>0</v>
      </c>
      <c r="I29" s="14">
        <f>zápis!AR33</f>
        <v>0</v>
      </c>
      <c r="J29" s="8">
        <f t="shared" si="2"/>
        <v>748</v>
      </c>
      <c r="K29" s="9">
        <f>zápis!AT33</f>
        <v>5</v>
      </c>
      <c r="L29" s="21">
        <f t="shared" si="3"/>
        <v>149.6</v>
      </c>
    </row>
    <row r="30" spans="1:16" s="6" customFormat="1" ht="15" customHeight="1">
      <c r="A30" s="119" t="s">
        <v>5</v>
      </c>
      <c r="B30" s="62" t="s">
        <v>35</v>
      </c>
      <c r="C30" s="13">
        <f>zápis!H37</f>
        <v>737</v>
      </c>
      <c r="D30" s="14">
        <f>zápis!N37</f>
        <v>0</v>
      </c>
      <c r="E30" s="14">
        <f>zápis!T37</f>
        <v>0</v>
      </c>
      <c r="F30" s="14">
        <f>zápis!Z37</f>
        <v>0</v>
      </c>
      <c r="G30" s="14">
        <f>zápis!AF37</f>
        <v>0</v>
      </c>
      <c r="H30" s="14">
        <f>zápis!AL37</f>
        <v>0</v>
      </c>
      <c r="I30" s="14">
        <f>zápis!AR37</f>
        <v>0</v>
      </c>
      <c r="J30" s="8">
        <f t="shared" si="2"/>
        <v>737</v>
      </c>
      <c r="K30" s="9">
        <f>zápis!AT37</f>
        <v>5</v>
      </c>
      <c r="L30" s="21">
        <f t="shared" si="3"/>
        <v>147.4</v>
      </c>
    </row>
    <row r="31" spans="1:16" s="6" customFormat="1" ht="15" customHeight="1">
      <c r="A31" s="119" t="s">
        <v>5</v>
      </c>
      <c r="B31" s="86" t="s">
        <v>9</v>
      </c>
      <c r="C31" s="13">
        <f>zápis!H35</f>
        <v>721</v>
      </c>
      <c r="D31" s="14">
        <f>zápis!N35</f>
        <v>0</v>
      </c>
      <c r="E31" s="14">
        <f>zápis!T35</f>
        <v>0</v>
      </c>
      <c r="F31" s="14">
        <f>zápis!Z35</f>
        <v>0</v>
      </c>
      <c r="G31" s="14">
        <f>zápis!AF35</f>
        <v>0</v>
      </c>
      <c r="H31" s="14">
        <f>zápis!AL35</f>
        <v>0</v>
      </c>
      <c r="I31" s="14">
        <f>zápis!AR35</f>
        <v>0</v>
      </c>
      <c r="J31" s="8">
        <f t="shared" si="2"/>
        <v>721</v>
      </c>
      <c r="K31" s="9">
        <f>zápis!AT35</f>
        <v>5</v>
      </c>
      <c r="L31" s="21">
        <f t="shared" si="3"/>
        <v>144.19999999999999</v>
      </c>
    </row>
    <row r="32" spans="1:16" s="6" customFormat="1" ht="15" customHeight="1">
      <c r="A32" s="119" t="s">
        <v>5</v>
      </c>
      <c r="B32" s="63" t="s">
        <v>79</v>
      </c>
      <c r="C32" s="13">
        <f>zápis!H45</f>
        <v>716</v>
      </c>
      <c r="D32" s="14">
        <f>zápis!N45</f>
        <v>0</v>
      </c>
      <c r="E32" s="14">
        <f>zápis!T45</f>
        <v>0</v>
      </c>
      <c r="F32" s="14">
        <f>zápis!Z45</f>
        <v>0</v>
      </c>
      <c r="G32" s="14">
        <f>zápis!AF45</f>
        <v>0</v>
      </c>
      <c r="H32" s="14">
        <f>zápis!AL45</f>
        <v>0</v>
      </c>
      <c r="I32" s="14">
        <f>zápis!AR45</f>
        <v>0</v>
      </c>
      <c r="J32" s="8">
        <f t="shared" si="2"/>
        <v>716</v>
      </c>
      <c r="K32" s="9">
        <f>zápis!AT45</f>
        <v>5</v>
      </c>
      <c r="L32" s="21">
        <f t="shared" si="3"/>
        <v>143.19999999999999</v>
      </c>
    </row>
    <row r="33" spans="1:12" s="6" customFormat="1" ht="15" customHeight="1">
      <c r="A33" s="119" t="s">
        <v>5</v>
      </c>
      <c r="B33" s="63" t="s">
        <v>36</v>
      </c>
      <c r="C33" s="13">
        <f>zápis!H38</f>
        <v>712</v>
      </c>
      <c r="D33" s="14">
        <f>zápis!N38</f>
        <v>0</v>
      </c>
      <c r="E33" s="14">
        <f>zápis!T38</f>
        <v>0</v>
      </c>
      <c r="F33" s="14">
        <f>zápis!Z38</f>
        <v>0</v>
      </c>
      <c r="G33" s="14">
        <f>zápis!AF38</f>
        <v>0</v>
      </c>
      <c r="H33" s="14">
        <f>zápis!AL38</f>
        <v>0</v>
      </c>
      <c r="I33" s="14">
        <f>zápis!AR38</f>
        <v>0</v>
      </c>
      <c r="J33" s="8">
        <f t="shared" si="2"/>
        <v>712</v>
      </c>
      <c r="K33" s="9">
        <f>zápis!AT38</f>
        <v>5</v>
      </c>
      <c r="L33" s="21">
        <f t="shared" si="3"/>
        <v>142.4</v>
      </c>
    </row>
    <row r="34" spans="1:12" s="6" customFormat="1" ht="15" customHeight="1">
      <c r="A34" s="119" t="s">
        <v>5</v>
      </c>
      <c r="B34" s="63" t="s">
        <v>96</v>
      </c>
      <c r="C34" s="13">
        <f>zápis!H43</f>
        <v>651</v>
      </c>
      <c r="D34" s="14">
        <f>zápis!N43</f>
        <v>0</v>
      </c>
      <c r="E34" s="14">
        <f>zápis!T43</f>
        <v>0</v>
      </c>
      <c r="F34" s="14">
        <f>zápis!Z43</f>
        <v>0</v>
      </c>
      <c r="G34" s="14">
        <f>zápis!AF43</f>
        <v>0</v>
      </c>
      <c r="H34" s="14">
        <f>zápis!AL43</f>
        <v>0</v>
      </c>
      <c r="I34" s="14">
        <f>zápis!AR43</f>
        <v>0</v>
      </c>
      <c r="J34" s="8">
        <f t="shared" si="2"/>
        <v>651</v>
      </c>
      <c r="K34" s="9">
        <f>zápis!AT43</f>
        <v>5</v>
      </c>
      <c r="L34" s="21">
        <f t="shared" si="3"/>
        <v>130.19999999999999</v>
      </c>
    </row>
    <row r="35" spans="1:12" s="6" customFormat="1" ht="15" customHeight="1">
      <c r="A35" s="119" t="s">
        <v>5</v>
      </c>
      <c r="B35" s="63" t="s">
        <v>17</v>
      </c>
      <c r="C35" s="13">
        <f>zápis!H40</f>
        <v>0</v>
      </c>
      <c r="D35" s="14">
        <f>zápis!N40</f>
        <v>0</v>
      </c>
      <c r="E35" s="14">
        <f>zápis!T40</f>
        <v>0</v>
      </c>
      <c r="F35" s="14">
        <f>zápis!Z40</f>
        <v>0</v>
      </c>
      <c r="G35" s="14">
        <f>zápis!AF40</f>
        <v>0</v>
      </c>
      <c r="H35" s="14">
        <f>zápis!AL40</f>
        <v>0</v>
      </c>
      <c r="I35" s="14">
        <f>zápis!AR40</f>
        <v>0</v>
      </c>
      <c r="J35" s="8"/>
      <c r="K35" s="9"/>
      <c r="L35" s="21"/>
    </row>
    <row r="36" spans="1:12" s="6" customFormat="1" ht="15" customHeight="1">
      <c r="A36" s="119" t="s">
        <v>5</v>
      </c>
      <c r="B36" s="62" t="s">
        <v>160</v>
      </c>
      <c r="C36" s="13">
        <f>zápis!H46</f>
        <v>0</v>
      </c>
      <c r="D36" s="14">
        <f>zápis!N46</f>
        <v>0</v>
      </c>
      <c r="E36" s="14">
        <f>zápis!T46</f>
        <v>0</v>
      </c>
      <c r="F36" s="14">
        <f>zápis!Z46</f>
        <v>0</v>
      </c>
      <c r="G36" s="14">
        <f>zápis!AF46</f>
        <v>0</v>
      </c>
      <c r="H36" s="14">
        <f>zápis!AL46</f>
        <v>0</v>
      </c>
      <c r="I36" s="14">
        <f>zápis!AM46</f>
        <v>0</v>
      </c>
      <c r="J36" s="8"/>
      <c r="K36" s="9"/>
      <c r="L36" s="21"/>
    </row>
    <row r="37" spans="1:12" s="6" customFormat="1" ht="15" customHeight="1">
      <c r="A37" s="119" t="s">
        <v>5</v>
      </c>
      <c r="B37" s="724" t="s">
        <v>166</v>
      </c>
      <c r="C37" s="13">
        <f>zápis!H42</f>
        <v>0</v>
      </c>
      <c r="D37" s="14">
        <f>zápis!N42</f>
        <v>0</v>
      </c>
      <c r="E37" s="14">
        <f>zápis!T42</f>
        <v>0</v>
      </c>
      <c r="F37" s="14">
        <f>zápis!Z42</f>
        <v>0</v>
      </c>
      <c r="G37" s="14">
        <f>zápis!AF42</f>
        <v>0</v>
      </c>
      <c r="H37" s="14">
        <f>zápis!AL42</f>
        <v>0</v>
      </c>
      <c r="I37" s="14">
        <f>zápis!AR42</f>
        <v>0</v>
      </c>
      <c r="J37" s="8"/>
      <c r="K37" s="9"/>
      <c r="L37" s="21"/>
    </row>
    <row r="38" spans="1:12" s="6" customFormat="1" ht="15" customHeight="1">
      <c r="A38" s="119" t="s">
        <v>5</v>
      </c>
      <c r="B38" s="63" t="s">
        <v>141</v>
      </c>
      <c r="C38" s="13">
        <f>zápis!H41</f>
        <v>0</v>
      </c>
      <c r="D38" s="14">
        <f>zápis!N41</f>
        <v>0</v>
      </c>
      <c r="E38" s="14">
        <f>zápis!T41</f>
        <v>0</v>
      </c>
      <c r="F38" s="14">
        <f>zápis!Z41</f>
        <v>0</v>
      </c>
      <c r="G38" s="14">
        <f>zápis!AF41</f>
        <v>0</v>
      </c>
      <c r="H38" s="14">
        <f>zápis!AL41</f>
        <v>0</v>
      </c>
      <c r="I38" s="14">
        <f>zápis!AR41</f>
        <v>0</v>
      </c>
      <c r="J38" s="8"/>
      <c r="K38" s="9"/>
      <c r="L38" s="21"/>
    </row>
    <row r="39" spans="1:12" s="6" customFormat="1" ht="15" customHeight="1">
      <c r="A39" s="120" t="s">
        <v>3</v>
      </c>
      <c r="B39" s="81" t="s">
        <v>112</v>
      </c>
      <c r="C39" s="13">
        <f>zápis!H69</f>
        <v>826</v>
      </c>
      <c r="D39" s="14">
        <f>zápis!N69</f>
        <v>0</v>
      </c>
      <c r="E39" s="14">
        <f>zápis!T69</f>
        <v>0</v>
      </c>
      <c r="F39" s="14">
        <f>zápis!Z69</f>
        <v>0</v>
      </c>
      <c r="G39" s="14">
        <f>zápis!AF69</f>
        <v>0</v>
      </c>
      <c r="H39" s="14">
        <f>zápis!AL69</f>
        <v>0</v>
      </c>
      <c r="I39" s="14">
        <f>zápis!AR69</f>
        <v>0</v>
      </c>
      <c r="J39" s="8">
        <f t="shared" ref="J39:J48" si="4">SUM(C39:I39)</f>
        <v>826</v>
      </c>
      <c r="K39" s="9">
        <f>zápis!AT69</f>
        <v>5</v>
      </c>
      <c r="L39" s="21">
        <f t="shared" ref="L39:L48" si="5">IF(K39=0,"",J39/K39)</f>
        <v>165.2</v>
      </c>
    </row>
    <row r="40" spans="1:12" s="6" customFormat="1" ht="15" customHeight="1">
      <c r="A40" s="120" t="s">
        <v>3</v>
      </c>
      <c r="B40" s="20" t="s">
        <v>117</v>
      </c>
      <c r="C40" s="13">
        <f>zápis!H70</f>
        <v>776</v>
      </c>
      <c r="D40" s="14">
        <f>zápis!N70</f>
        <v>0</v>
      </c>
      <c r="E40" s="14">
        <f>zápis!T70</f>
        <v>0</v>
      </c>
      <c r="F40" s="14">
        <f>zápis!Z70</f>
        <v>0</v>
      </c>
      <c r="G40" s="14">
        <f>zápis!AF70</f>
        <v>0</v>
      </c>
      <c r="H40" s="14">
        <f>zápis!AL70</f>
        <v>0</v>
      </c>
      <c r="I40" s="14">
        <f>zápis!AR70</f>
        <v>0</v>
      </c>
      <c r="J40" s="8">
        <f t="shared" si="4"/>
        <v>776</v>
      </c>
      <c r="K40" s="9">
        <f>zápis!AT70</f>
        <v>5</v>
      </c>
      <c r="L40" s="21">
        <f t="shared" si="5"/>
        <v>155.19999999999999</v>
      </c>
    </row>
    <row r="41" spans="1:12" s="6" customFormat="1" ht="15" customHeight="1">
      <c r="A41" s="120" t="s">
        <v>3</v>
      </c>
      <c r="B41" s="20" t="s">
        <v>65</v>
      </c>
      <c r="C41" s="13">
        <f>zápis!H53</f>
        <v>755</v>
      </c>
      <c r="D41" s="14">
        <f>zápis!N53</f>
        <v>0</v>
      </c>
      <c r="E41" s="14">
        <f>zápis!T53</f>
        <v>0</v>
      </c>
      <c r="F41" s="14">
        <f>zápis!Z53</f>
        <v>0</v>
      </c>
      <c r="G41" s="14">
        <f>zápis!AF53</f>
        <v>0</v>
      </c>
      <c r="H41" s="14">
        <f>zápis!AL53</f>
        <v>0</v>
      </c>
      <c r="I41" s="14">
        <f>zápis!AR53</f>
        <v>0</v>
      </c>
      <c r="J41" s="8">
        <f t="shared" si="4"/>
        <v>755</v>
      </c>
      <c r="K41" s="9">
        <f>zápis!AT53</f>
        <v>5</v>
      </c>
      <c r="L41" s="21">
        <f t="shared" si="5"/>
        <v>151</v>
      </c>
    </row>
    <row r="42" spans="1:12" s="6" customFormat="1" ht="15" customHeight="1">
      <c r="A42" s="120" t="s">
        <v>3</v>
      </c>
      <c r="B42" s="33" t="s">
        <v>66</v>
      </c>
      <c r="C42" s="13">
        <f>zápis!H57</f>
        <v>722</v>
      </c>
      <c r="D42" s="14">
        <f>zápis!N57</f>
        <v>0</v>
      </c>
      <c r="E42" s="14">
        <f>zápis!T57</f>
        <v>0</v>
      </c>
      <c r="F42" s="14">
        <f>zápis!Z57</f>
        <v>0</v>
      </c>
      <c r="G42" s="14">
        <f>zápis!AF57</f>
        <v>0</v>
      </c>
      <c r="H42" s="14">
        <f>zápis!AL57</f>
        <v>0</v>
      </c>
      <c r="I42" s="14">
        <f>zápis!AR57</f>
        <v>0</v>
      </c>
      <c r="J42" s="8">
        <f t="shared" si="4"/>
        <v>722</v>
      </c>
      <c r="K42" s="9">
        <f>zápis!AT57</f>
        <v>5</v>
      </c>
      <c r="L42" s="21">
        <f t="shared" si="5"/>
        <v>144.4</v>
      </c>
    </row>
    <row r="43" spans="1:12" s="6" customFormat="1" ht="15" customHeight="1">
      <c r="A43" s="120" t="s">
        <v>3</v>
      </c>
      <c r="B43" s="33" t="s">
        <v>67</v>
      </c>
      <c r="C43" s="13">
        <f>zápis!H56</f>
        <v>709</v>
      </c>
      <c r="D43" s="14">
        <f>zápis!N56</f>
        <v>0</v>
      </c>
      <c r="E43" s="14">
        <f>zápis!T56</f>
        <v>0</v>
      </c>
      <c r="F43" s="14">
        <f>zápis!Z56</f>
        <v>0</v>
      </c>
      <c r="G43" s="14">
        <f>zápis!AF56</f>
        <v>0</v>
      </c>
      <c r="H43" s="14">
        <f>zápis!AL56</f>
        <v>0</v>
      </c>
      <c r="I43" s="14">
        <f>zápis!AR56</f>
        <v>0</v>
      </c>
      <c r="J43" s="8">
        <f t="shared" si="4"/>
        <v>709</v>
      </c>
      <c r="K43" s="9">
        <f>zápis!AT56</f>
        <v>5</v>
      </c>
      <c r="L43" s="21">
        <f t="shared" si="5"/>
        <v>141.80000000000001</v>
      </c>
    </row>
    <row r="44" spans="1:12" s="6" customFormat="1" ht="15" customHeight="1">
      <c r="A44" s="120" t="s">
        <v>3</v>
      </c>
      <c r="B44" s="44" t="s">
        <v>90</v>
      </c>
      <c r="C44" s="13">
        <f>zápis!H62</f>
        <v>684</v>
      </c>
      <c r="D44" s="14">
        <f>zápis!N62</f>
        <v>0</v>
      </c>
      <c r="E44" s="14">
        <f>zápis!T62</f>
        <v>0</v>
      </c>
      <c r="F44" s="14">
        <f>zápis!Z62</f>
        <v>0</v>
      </c>
      <c r="G44" s="14">
        <f>zápis!AF62</f>
        <v>0</v>
      </c>
      <c r="H44" s="14">
        <f>zápis!AL62</f>
        <v>0</v>
      </c>
      <c r="I44" s="14">
        <f>zápis!AR62</f>
        <v>0</v>
      </c>
      <c r="J44" s="8">
        <f t="shared" si="4"/>
        <v>684</v>
      </c>
      <c r="K44" s="9">
        <f>zápis!AT62</f>
        <v>5</v>
      </c>
      <c r="L44" s="21">
        <f t="shared" si="5"/>
        <v>136.80000000000001</v>
      </c>
    </row>
    <row r="45" spans="1:12" s="6" customFormat="1" ht="15" customHeight="1">
      <c r="A45" s="120" t="s">
        <v>3</v>
      </c>
      <c r="B45" s="20" t="s">
        <v>27</v>
      </c>
      <c r="C45" s="13">
        <f>zápis!H50</f>
        <v>681</v>
      </c>
      <c r="D45" s="14">
        <f>zápis!N50</f>
        <v>0</v>
      </c>
      <c r="E45" s="14">
        <f>zápis!T50</f>
        <v>0</v>
      </c>
      <c r="F45" s="14">
        <f>zápis!Z50</f>
        <v>0</v>
      </c>
      <c r="G45" s="14">
        <f>zápis!AF50</f>
        <v>0</v>
      </c>
      <c r="H45" s="14">
        <f>zápis!AL50</f>
        <v>0</v>
      </c>
      <c r="I45" s="14">
        <f>zápis!AR50</f>
        <v>0</v>
      </c>
      <c r="J45" s="8">
        <f t="shared" si="4"/>
        <v>681</v>
      </c>
      <c r="K45" s="9">
        <f>zápis!AT50</f>
        <v>5</v>
      </c>
      <c r="L45" s="21">
        <f t="shared" si="5"/>
        <v>136.19999999999999</v>
      </c>
    </row>
    <row r="46" spans="1:12" s="6" customFormat="1" ht="15" customHeight="1">
      <c r="A46" s="120" t="s">
        <v>3</v>
      </c>
      <c r="B46" s="20" t="s">
        <v>219</v>
      </c>
      <c r="C46" s="13">
        <f>zápis!H71</f>
        <v>587</v>
      </c>
      <c r="D46" s="14">
        <f>zápis!N71</f>
        <v>0</v>
      </c>
      <c r="E46" s="14">
        <f>zápis!T71</f>
        <v>0</v>
      </c>
      <c r="F46" s="14">
        <f>zápis!Z71</f>
        <v>0</v>
      </c>
      <c r="G46" s="14">
        <f>zápis!AF71</f>
        <v>0</v>
      </c>
      <c r="H46" s="14">
        <f>zápis!AL71</f>
        <v>0</v>
      </c>
      <c r="I46" s="14">
        <f>zápis!AR71</f>
        <v>0</v>
      </c>
      <c r="J46" s="8">
        <f t="shared" si="4"/>
        <v>587</v>
      </c>
      <c r="K46" s="9">
        <f>zápis!AT71</f>
        <v>5</v>
      </c>
      <c r="L46" s="21">
        <f t="shared" si="5"/>
        <v>117.4</v>
      </c>
    </row>
    <row r="47" spans="1:12" s="6" customFormat="1" ht="15" customHeight="1">
      <c r="A47" s="120" t="s">
        <v>3</v>
      </c>
      <c r="B47" s="20" t="s">
        <v>29</v>
      </c>
      <c r="C47" s="13">
        <f>zápis!H52</f>
        <v>575</v>
      </c>
      <c r="D47" s="14">
        <f>zápis!N52</f>
        <v>0</v>
      </c>
      <c r="E47" s="14">
        <f>zápis!T52</f>
        <v>0</v>
      </c>
      <c r="F47" s="14">
        <f>zápis!Z52</f>
        <v>0</v>
      </c>
      <c r="G47" s="14">
        <f>zápis!AF52</f>
        <v>0</v>
      </c>
      <c r="H47" s="14">
        <f>zápis!AL52</f>
        <v>0</v>
      </c>
      <c r="I47" s="14">
        <f>zápis!AR52</f>
        <v>0</v>
      </c>
      <c r="J47" s="8">
        <f t="shared" si="4"/>
        <v>575</v>
      </c>
      <c r="K47" s="9">
        <f>zápis!AT52</f>
        <v>5</v>
      </c>
      <c r="L47" s="21">
        <f t="shared" si="5"/>
        <v>115</v>
      </c>
    </row>
    <row r="48" spans="1:12" s="6" customFormat="1" ht="15" customHeight="1">
      <c r="A48" s="120" t="s">
        <v>3</v>
      </c>
      <c r="B48" s="44" t="s">
        <v>170</v>
      </c>
      <c r="C48" s="13">
        <f>zápis!H66</f>
        <v>492</v>
      </c>
      <c r="D48" s="14">
        <f>zápis!N66</f>
        <v>0</v>
      </c>
      <c r="E48" s="14">
        <f>zápis!T66</f>
        <v>0</v>
      </c>
      <c r="F48" s="14">
        <f>zápis!Z66</f>
        <v>0</v>
      </c>
      <c r="G48" s="14">
        <f>zápis!AF66</f>
        <v>0</v>
      </c>
      <c r="H48" s="14">
        <f>zápis!AL66</f>
        <v>0</v>
      </c>
      <c r="I48" s="14">
        <f>zápis!AR66</f>
        <v>0</v>
      </c>
      <c r="J48" s="8">
        <f t="shared" si="4"/>
        <v>492</v>
      </c>
      <c r="K48" s="9">
        <f>zápis!AT66</f>
        <v>5</v>
      </c>
      <c r="L48" s="21">
        <f t="shared" si="5"/>
        <v>98.4</v>
      </c>
    </row>
    <row r="49" spans="1:12" s="6" customFormat="1" ht="15" customHeight="1">
      <c r="A49" s="120" t="s">
        <v>3</v>
      </c>
      <c r="B49" s="81" t="s">
        <v>92</v>
      </c>
      <c r="C49" s="13">
        <f>zápis!H64</f>
        <v>0</v>
      </c>
      <c r="D49" s="14">
        <f>zápis!N64</f>
        <v>0</v>
      </c>
      <c r="E49" s="14">
        <f>zápis!T64</f>
        <v>0</v>
      </c>
      <c r="F49" s="14">
        <f>zápis!Z64</f>
        <v>0</v>
      </c>
      <c r="G49" s="14">
        <f>zápis!AF64</f>
        <v>0</v>
      </c>
      <c r="H49" s="14">
        <f>zápis!AL64</f>
        <v>0</v>
      </c>
      <c r="I49" s="14">
        <f>zápis!AR64</f>
        <v>0</v>
      </c>
      <c r="J49" s="8"/>
      <c r="K49" s="9"/>
      <c r="L49" s="21"/>
    </row>
    <row r="50" spans="1:12" s="6" customFormat="1" ht="15" customHeight="1">
      <c r="A50" s="120" t="s">
        <v>3</v>
      </c>
      <c r="B50" s="20" t="s">
        <v>162</v>
      </c>
      <c r="C50" s="13">
        <f>zápis!H51</f>
        <v>0</v>
      </c>
      <c r="D50" s="14">
        <f>zápis!N51</f>
        <v>0</v>
      </c>
      <c r="E50" s="14">
        <f>zápis!T51</f>
        <v>0</v>
      </c>
      <c r="F50" s="14">
        <f>zápis!Z51</f>
        <v>0</v>
      </c>
      <c r="G50" s="14">
        <f>zápis!AF51</f>
        <v>0</v>
      </c>
      <c r="H50" s="14">
        <f>zápis!AL51</f>
        <v>0</v>
      </c>
      <c r="I50" s="14">
        <f>zápis!AR51</f>
        <v>0</v>
      </c>
      <c r="J50" s="8"/>
      <c r="K50" s="9"/>
      <c r="L50" s="21"/>
    </row>
    <row r="51" spans="1:12" s="6" customFormat="1" ht="15" customHeight="1">
      <c r="A51" s="120" t="s">
        <v>3</v>
      </c>
      <c r="B51" s="395" t="s">
        <v>173</v>
      </c>
      <c r="C51" s="13">
        <f>zápis!H60</f>
        <v>0</v>
      </c>
      <c r="D51" s="14">
        <f>zápis!N60</f>
        <v>0</v>
      </c>
      <c r="E51" s="14">
        <f>zápis!T60</f>
        <v>0</v>
      </c>
      <c r="F51" s="14">
        <f>zápis!Z60</f>
        <v>0</v>
      </c>
      <c r="G51" s="14">
        <f>zápis!AF60</f>
        <v>0</v>
      </c>
      <c r="H51" s="14">
        <f>zápis!AL60</f>
        <v>0</v>
      </c>
      <c r="I51" s="14">
        <f>zápis!AR60</f>
        <v>0</v>
      </c>
      <c r="J51" s="8"/>
      <c r="K51" s="9"/>
      <c r="L51" s="21"/>
    </row>
    <row r="52" spans="1:12" s="6" customFormat="1" ht="15" customHeight="1">
      <c r="A52" s="120" t="s">
        <v>3</v>
      </c>
      <c r="B52" s="44" t="s">
        <v>164</v>
      </c>
      <c r="C52" s="13">
        <f>zápis!H68</f>
        <v>0</v>
      </c>
      <c r="D52" s="14">
        <f>zápis!N68</f>
        <v>0</v>
      </c>
      <c r="E52" s="14">
        <f>zápis!T68</f>
        <v>0</v>
      </c>
      <c r="F52" s="14">
        <f>zápis!Z68</f>
        <v>0</v>
      </c>
      <c r="G52" s="14">
        <f>zápis!AF68</f>
        <v>0</v>
      </c>
      <c r="H52" s="14">
        <f>zápis!AL68</f>
        <v>0</v>
      </c>
      <c r="I52" s="14">
        <f>zápis!AR68</f>
        <v>0</v>
      </c>
      <c r="J52" s="8"/>
      <c r="K52" s="9"/>
      <c r="L52" s="21"/>
    </row>
    <row r="53" spans="1:12" s="6" customFormat="1" ht="15" customHeight="1">
      <c r="A53" s="120" t="s">
        <v>3</v>
      </c>
      <c r="B53" s="48" t="s">
        <v>77</v>
      </c>
      <c r="C53" s="13">
        <f>zápis!H58</f>
        <v>0</v>
      </c>
      <c r="D53" s="14">
        <f>zápis!N58</f>
        <v>0</v>
      </c>
      <c r="E53" s="14">
        <f>zápis!T58</f>
        <v>0</v>
      </c>
      <c r="F53" s="14">
        <f>zápis!Z58</f>
        <v>0</v>
      </c>
      <c r="G53" s="14">
        <f>zápis!AF58</f>
        <v>0</v>
      </c>
      <c r="H53" s="14">
        <f>zápis!AL58</f>
        <v>0</v>
      </c>
      <c r="I53" s="14">
        <f>zápis!AR58</f>
        <v>0</v>
      </c>
      <c r="J53" s="8"/>
      <c r="K53" s="9"/>
      <c r="L53" s="21"/>
    </row>
    <row r="54" spans="1:12" s="6" customFormat="1" ht="15" customHeight="1">
      <c r="A54" s="120" t="s">
        <v>3</v>
      </c>
      <c r="B54" s="44" t="s">
        <v>168</v>
      </c>
      <c r="C54" s="13">
        <f>zápis!H63</f>
        <v>0</v>
      </c>
      <c r="D54" s="14">
        <f>zápis!N63</f>
        <v>0</v>
      </c>
      <c r="E54" s="14">
        <f>zápis!T63</f>
        <v>0</v>
      </c>
      <c r="F54" s="14">
        <f>zápis!Z63</f>
        <v>0</v>
      </c>
      <c r="G54" s="14">
        <f>zápis!AF63</f>
        <v>0</v>
      </c>
      <c r="H54" s="14">
        <f>zápis!AL63</f>
        <v>0</v>
      </c>
      <c r="I54" s="14">
        <f>zápis!AR63</f>
        <v>0</v>
      </c>
      <c r="J54" s="8"/>
      <c r="K54" s="9"/>
      <c r="L54" s="21"/>
    </row>
    <row r="55" spans="1:12" s="6" customFormat="1" ht="15" customHeight="1">
      <c r="A55" s="120" t="s">
        <v>3</v>
      </c>
      <c r="B55" s="395" t="s">
        <v>145</v>
      </c>
      <c r="C55" s="13">
        <f>zápis!H72</f>
        <v>0</v>
      </c>
      <c r="D55" s="14">
        <f>zápis!N72</f>
        <v>0</v>
      </c>
      <c r="E55" s="14">
        <f>zápis!T72</f>
        <v>0</v>
      </c>
      <c r="F55" s="14">
        <f>zápis!Z72</f>
        <v>0</v>
      </c>
      <c r="G55" s="14">
        <f>zápis!AF72</f>
        <v>0</v>
      </c>
      <c r="H55" s="14">
        <f>zápis!AL72</f>
        <v>0</v>
      </c>
      <c r="I55" s="14">
        <f>zápis!AR72</f>
        <v>0</v>
      </c>
      <c r="J55" s="8"/>
      <c r="K55" s="9"/>
      <c r="L55" s="21"/>
    </row>
    <row r="56" spans="1:12" s="6" customFormat="1" ht="15" customHeight="1">
      <c r="A56" s="120" t="s">
        <v>3</v>
      </c>
      <c r="B56" s="44" t="s">
        <v>143</v>
      </c>
      <c r="C56" s="13">
        <f>zápis!H65</f>
        <v>0</v>
      </c>
      <c r="D56" s="14">
        <f>zápis!N65</f>
        <v>0</v>
      </c>
      <c r="E56" s="14">
        <f>zápis!T65</f>
        <v>0</v>
      </c>
      <c r="F56" s="14">
        <f>zápis!Z65</f>
        <v>0</v>
      </c>
      <c r="G56" s="14">
        <f>zápis!AF65</f>
        <v>0</v>
      </c>
      <c r="H56" s="14">
        <f>zápis!AL65</f>
        <v>0</v>
      </c>
      <c r="I56" s="14">
        <f>zápis!AR65</f>
        <v>0</v>
      </c>
      <c r="J56" s="8"/>
      <c r="K56" s="9"/>
      <c r="L56" s="21"/>
    </row>
    <row r="57" spans="1:12" s="6" customFormat="1" ht="15" customHeight="1">
      <c r="A57" s="121" t="s">
        <v>3</v>
      </c>
      <c r="B57" s="44" t="s">
        <v>171</v>
      </c>
      <c r="C57" s="13">
        <f>zápis!H67</f>
        <v>0</v>
      </c>
      <c r="D57" s="14">
        <f>zápis!N67</f>
        <v>0</v>
      </c>
      <c r="E57" s="14">
        <f>zápis!T67</f>
        <v>0</v>
      </c>
      <c r="F57" s="14">
        <f>zápis!Z67</f>
        <v>0</v>
      </c>
      <c r="G57" s="14">
        <f>zápis!AF67</f>
        <v>0</v>
      </c>
      <c r="H57" s="14">
        <f>zápis!AL67</f>
        <v>0</v>
      </c>
      <c r="I57" s="14">
        <f>zápis!AR67</f>
        <v>0</v>
      </c>
      <c r="J57" s="8"/>
      <c r="K57" s="9"/>
      <c r="L57" s="21"/>
    </row>
    <row r="58" spans="1:12" s="6" customFormat="1" ht="15" customHeight="1">
      <c r="A58" s="120" t="s">
        <v>3</v>
      </c>
      <c r="B58" s="20" t="s">
        <v>28</v>
      </c>
      <c r="C58" s="13">
        <f>zápis!H55</f>
        <v>0</v>
      </c>
      <c r="D58" s="14">
        <f>zápis!N55</f>
        <v>0</v>
      </c>
      <c r="E58" s="14">
        <f>zápis!T55</f>
        <v>0</v>
      </c>
      <c r="F58" s="14">
        <f>zápis!Z55</f>
        <v>0</v>
      </c>
      <c r="G58" s="14">
        <f>zápis!AF55</f>
        <v>0</v>
      </c>
      <c r="H58" s="14">
        <f>zápis!AL55</f>
        <v>0</v>
      </c>
      <c r="I58" s="14">
        <f>zápis!AR55</f>
        <v>0</v>
      </c>
      <c r="J58" s="8"/>
      <c r="K58" s="9"/>
      <c r="L58" s="21"/>
    </row>
    <row r="59" spans="1:12" s="6" customFormat="1" ht="15" customHeight="1">
      <c r="A59" s="120" t="s">
        <v>3</v>
      </c>
      <c r="B59" s="20" t="s">
        <v>30</v>
      </c>
      <c r="C59" s="13">
        <f>zápis!H54</f>
        <v>0</v>
      </c>
      <c r="D59" s="14">
        <f>zápis!N54</f>
        <v>0</v>
      </c>
      <c r="E59" s="14">
        <f>zápis!T54</f>
        <v>0</v>
      </c>
      <c r="F59" s="14">
        <f>zápis!Z54</f>
        <v>0</v>
      </c>
      <c r="G59" s="14">
        <f>zápis!AF54</f>
        <v>0</v>
      </c>
      <c r="H59" s="14">
        <f>zápis!AL54</f>
        <v>0</v>
      </c>
      <c r="I59" s="14">
        <f>zápis!AR54</f>
        <v>0</v>
      </c>
      <c r="J59" s="8"/>
      <c r="K59" s="9"/>
      <c r="L59" s="21"/>
    </row>
    <row r="60" spans="1:12" s="6" customFormat="1" ht="15" customHeight="1">
      <c r="A60" s="120" t="s">
        <v>3</v>
      </c>
      <c r="B60" s="44" t="s">
        <v>158</v>
      </c>
      <c r="C60" s="13">
        <f>zápis!H61</f>
        <v>0</v>
      </c>
      <c r="D60" s="14">
        <f>zápis!N61</f>
        <v>0</v>
      </c>
      <c r="E60" s="14">
        <f>zápis!T61</f>
        <v>0</v>
      </c>
      <c r="F60" s="14">
        <f>zápis!Z61</f>
        <v>0</v>
      </c>
      <c r="G60" s="14">
        <f>zápis!AF61</f>
        <v>0</v>
      </c>
      <c r="H60" s="14">
        <f>zápis!AL61</f>
        <v>0</v>
      </c>
      <c r="I60" s="14">
        <f>zápis!AR61</f>
        <v>0</v>
      </c>
      <c r="J60" s="8"/>
      <c r="K60" s="9"/>
      <c r="L60" s="21"/>
    </row>
    <row r="61" spans="1:12" s="6" customFormat="1" ht="15" customHeight="1">
      <c r="A61" s="120" t="s">
        <v>3</v>
      </c>
      <c r="B61" s="44" t="s">
        <v>98</v>
      </c>
      <c r="C61" s="13">
        <f>zápis!H59</f>
        <v>0</v>
      </c>
      <c r="D61" s="14">
        <f>zápis!N59</f>
        <v>0</v>
      </c>
      <c r="E61" s="14">
        <f>zápis!T59</f>
        <v>0</v>
      </c>
      <c r="F61" s="14">
        <f>zápis!Z59</f>
        <v>0</v>
      </c>
      <c r="G61" s="14">
        <f>zápis!AF59</f>
        <v>0</v>
      </c>
      <c r="H61" s="14">
        <f>zápis!AL59</f>
        <v>0</v>
      </c>
      <c r="I61" s="14">
        <f>zápis!AR59</f>
        <v>0</v>
      </c>
      <c r="J61" s="8"/>
      <c r="K61" s="9"/>
      <c r="L61" s="21"/>
    </row>
    <row r="62" spans="1:12" s="6" customFormat="1" ht="15" customHeight="1">
      <c r="A62" s="122" t="s">
        <v>0</v>
      </c>
      <c r="B62" s="82" t="s">
        <v>26</v>
      </c>
      <c r="C62" s="13">
        <f>zápis!H77</f>
        <v>827</v>
      </c>
      <c r="D62" s="14">
        <f>zápis!N77</f>
        <v>0</v>
      </c>
      <c r="E62" s="14">
        <f>zápis!T77</f>
        <v>0</v>
      </c>
      <c r="F62" s="14">
        <f>zápis!Z77</f>
        <v>0</v>
      </c>
      <c r="G62" s="14">
        <f>zápis!AF77</f>
        <v>0</v>
      </c>
      <c r="H62" s="14">
        <f>zápis!AL77</f>
        <v>0</v>
      </c>
      <c r="I62" s="14">
        <f>zápis!AR77</f>
        <v>0</v>
      </c>
      <c r="J62" s="8">
        <f t="shared" ref="J62:J76" si="6">SUM(C62:I62)</f>
        <v>827</v>
      </c>
      <c r="K62" s="9">
        <f>zápis!AT77</f>
        <v>5</v>
      </c>
      <c r="L62" s="21">
        <f t="shared" ref="L62:L76" si="7">IF(K62=0,"",J62/K62)</f>
        <v>165.4</v>
      </c>
    </row>
    <row r="63" spans="1:12" s="6" customFormat="1" ht="15" customHeight="1">
      <c r="A63" s="122" t="s">
        <v>0</v>
      </c>
      <c r="B63" s="270" t="s">
        <v>156</v>
      </c>
      <c r="C63" s="13">
        <f>zápis!H87</f>
        <v>799</v>
      </c>
      <c r="D63" s="14">
        <f>zápis!N87</f>
        <v>0</v>
      </c>
      <c r="E63" s="14">
        <f>zápis!T87</f>
        <v>0</v>
      </c>
      <c r="F63" s="14">
        <f>zápis!Z87</f>
        <v>0</v>
      </c>
      <c r="G63" s="14">
        <f>zápis!AF87</f>
        <v>0</v>
      </c>
      <c r="H63" s="14">
        <f>zápis!AL87</f>
        <v>0</v>
      </c>
      <c r="I63" s="14">
        <f>zápis!AR87</f>
        <v>0</v>
      </c>
      <c r="J63" s="8">
        <f t="shared" si="6"/>
        <v>799</v>
      </c>
      <c r="K63" s="9">
        <f>zápis!AT87</f>
        <v>5</v>
      </c>
      <c r="L63" s="21">
        <f t="shared" si="7"/>
        <v>159.80000000000001</v>
      </c>
    </row>
    <row r="64" spans="1:12" s="6" customFormat="1" ht="15" customHeight="1">
      <c r="A64" s="122" t="s">
        <v>0</v>
      </c>
      <c r="B64" s="82" t="s">
        <v>2</v>
      </c>
      <c r="C64" s="13">
        <f>zápis!H76</f>
        <v>791</v>
      </c>
      <c r="D64" s="14">
        <f>zápis!N76</f>
        <v>0</v>
      </c>
      <c r="E64" s="14">
        <f>zápis!T76</f>
        <v>0</v>
      </c>
      <c r="F64" s="14">
        <f>zápis!Z76</f>
        <v>0</v>
      </c>
      <c r="G64" s="14">
        <f>zápis!AF76</f>
        <v>0</v>
      </c>
      <c r="H64" s="14">
        <f>zápis!AL76</f>
        <v>0</v>
      </c>
      <c r="I64" s="14">
        <f>zápis!AR76</f>
        <v>0</v>
      </c>
      <c r="J64" s="8">
        <f t="shared" si="6"/>
        <v>791</v>
      </c>
      <c r="K64" s="9">
        <f>zápis!AT76</f>
        <v>5</v>
      </c>
      <c r="L64" s="21">
        <f t="shared" si="7"/>
        <v>158.19999999999999</v>
      </c>
    </row>
    <row r="65" spans="1:12" s="6" customFormat="1" ht="15" customHeight="1">
      <c r="A65" s="122" t="s">
        <v>0</v>
      </c>
      <c r="B65" s="82" t="s">
        <v>144</v>
      </c>
      <c r="C65" s="13">
        <f>zápis!H88</f>
        <v>772</v>
      </c>
      <c r="D65" s="14">
        <f>zápis!N88</f>
        <v>0</v>
      </c>
      <c r="E65" s="14">
        <f>zápis!T88</f>
        <v>0</v>
      </c>
      <c r="F65" s="14">
        <f>zápis!Z88</f>
        <v>0</v>
      </c>
      <c r="G65" s="14">
        <f>zápis!AF88</f>
        <v>0</v>
      </c>
      <c r="H65" s="14">
        <f>zápis!AL88</f>
        <v>0</v>
      </c>
      <c r="I65" s="14">
        <f>zápis!AR88</f>
        <v>0</v>
      </c>
      <c r="J65" s="8">
        <f t="shared" si="6"/>
        <v>772</v>
      </c>
      <c r="K65" s="9">
        <f>zápis!AT88</f>
        <v>5</v>
      </c>
      <c r="L65" s="21">
        <f t="shared" si="7"/>
        <v>154.4</v>
      </c>
    </row>
    <row r="66" spans="1:12" s="6" customFormat="1" ht="15" customHeight="1">
      <c r="A66" s="122" t="s">
        <v>0</v>
      </c>
      <c r="B66" s="720" t="s">
        <v>220</v>
      </c>
      <c r="C66" s="13">
        <f>zápis!H93</f>
        <v>761</v>
      </c>
      <c r="D66" s="14">
        <f>zápis!N93</f>
        <v>0</v>
      </c>
      <c r="E66" s="14">
        <f>zápis!T93</f>
        <v>0</v>
      </c>
      <c r="F66" s="14">
        <f>zápis!Z93</f>
        <v>0</v>
      </c>
      <c r="G66" s="14">
        <f>zápis!AF93</f>
        <v>0</v>
      </c>
      <c r="H66" s="14">
        <f>zápis!AL93</f>
        <v>0</v>
      </c>
      <c r="I66" s="14">
        <f>zápis!AR93</f>
        <v>0</v>
      </c>
      <c r="J66" s="8">
        <f t="shared" si="6"/>
        <v>761</v>
      </c>
      <c r="K66" s="9">
        <f>zápis!AT93</f>
        <v>5</v>
      </c>
      <c r="L66" s="21">
        <f t="shared" si="7"/>
        <v>152.19999999999999</v>
      </c>
    </row>
    <row r="67" spans="1:12" s="6" customFormat="1" ht="15" customHeight="1">
      <c r="A67" s="122" t="s">
        <v>0</v>
      </c>
      <c r="B67" s="18" t="s">
        <v>33</v>
      </c>
      <c r="C67" s="13">
        <f>zápis!H83</f>
        <v>721</v>
      </c>
      <c r="D67" s="14">
        <f>zápis!N83</f>
        <v>0</v>
      </c>
      <c r="E67" s="14">
        <f>zápis!T83</f>
        <v>0</v>
      </c>
      <c r="F67" s="14">
        <f>zápis!Z83</f>
        <v>0</v>
      </c>
      <c r="G67" s="14">
        <f>zápis!AF83</f>
        <v>0</v>
      </c>
      <c r="H67" s="14">
        <f>zápis!AL83</f>
        <v>0</v>
      </c>
      <c r="I67" s="14">
        <f>zápis!AR83</f>
        <v>0</v>
      </c>
      <c r="J67" s="8">
        <f t="shared" si="6"/>
        <v>721</v>
      </c>
      <c r="K67" s="9">
        <f>zápis!AT83</f>
        <v>5</v>
      </c>
      <c r="L67" s="21">
        <f t="shared" si="7"/>
        <v>144.19999999999999</v>
      </c>
    </row>
    <row r="68" spans="1:12" s="6" customFormat="1" ht="15" customHeight="1">
      <c r="A68" s="122" t="s">
        <v>0</v>
      </c>
      <c r="B68" s="92" t="s">
        <v>118</v>
      </c>
      <c r="C68" s="13">
        <f>zápis!H94</f>
        <v>709</v>
      </c>
      <c r="D68" s="14">
        <f>zápis!N94</f>
        <v>0</v>
      </c>
      <c r="E68" s="14">
        <f>zápis!T94</f>
        <v>0</v>
      </c>
      <c r="F68" s="14">
        <f>zápis!Z94</f>
        <v>0</v>
      </c>
      <c r="G68" s="14">
        <f>zápis!AF94</f>
        <v>0</v>
      </c>
      <c r="H68" s="14">
        <f>zápis!AL94</f>
        <v>0</v>
      </c>
      <c r="I68" s="14">
        <f>zápis!AR94</f>
        <v>0</v>
      </c>
      <c r="J68" s="8">
        <f t="shared" si="6"/>
        <v>709</v>
      </c>
      <c r="K68" s="9">
        <f>zápis!AT94</f>
        <v>5</v>
      </c>
      <c r="L68" s="21">
        <f t="shared" si="7"/>
        <v>141.80000000000001</v>
      </c>
    </row>
    <row r="69" spans="1:12" s="6" customFormat="1" ht="15" customHeight="1">
      <c r="A69" s="122" t="s">
        <v>0</v>
      </c>
      <c r="B69" s="270" t="s">
        <v>221</v>
      </c>
      <c r="C69" s="13">
        <f>zápis!H91</f>
        <v>701</v>
      </c>
      <c r="D69" s="14">
        <f>zápis!N91</f>
        <v>0</v>
      </c>
      <c r="E69" s="14">
        <f>zápis!T91</f>
        <v>0</v>
      </c>
      <c r="F69" s="14">
        <f>zápis!Z91</f>
        <v>0</v>
      </c>
      <c r="G69" s="14">
        <f>zápis!AF91</f>
        <v>0</v>
      </c>
      <c r="H69" s="14">
        <f>zápis!AL91</f>
        <v>0</v>
      </c>
      <c r="I69" s="14">
        <f>zápis!AR91</f>
        <v>0</v>
      </c>
      <c r="J69" s="8">
        <f t="shared" si="6"/>
        <v>701</v>
      </c>
      <c r="K69" s="9">
        <f>zápis!AT91</f>
        <v>5</v>
      </c>
      <c r="L69" s="21">
        <f t="shared" si="7"/>
        <v>140.19999999999999</v>
      </c>
    </row>
    <row r="70" spans="1:12" s="6" customFormat="1" ht="15" customHeight="1">
      <c r="A70" s="122" t="s">
        <v>0</v>
      </c>
      <c r="B70" s="18" t="s">
        <v>76</v>
      </c>
      <c r="C70" s="13">
        <f>zápis!H80</f>
        <v>694</v>
      </c>
      <c r="D70" s="14">
        <f>zápis!N80</f>
        <v>0</v>
      </c>
      <c r="E70" s="14">
        <f>zápis!T80</f>
        <v>0</v>
      </c>
      <c r="F70" s="14">
        <f>zápis!Z80</f>
        <v>0</v>
      </c>
      <c r="G70" s="14">
        <f>zápis!AF80</f>
        <v>0</v>
      </c>
      <c r="H70" s="14">
        <f>zápis!AL80</f>
        <v>0</v>
      </c>
      <c r="I70" s="14">
        <f>zápis!AR80</f>
        <v>0</v>
      </c>
      <c r="J70" s="8">
        <f t="shared" si="6"/>
        <v>694</v>
      </c>
      <c r="K70" s="9">
        <f>zápis!AT80</f>
        <v>5</v>
      </c>
      <c r="L70" s="21">
        <f t="shared" si="7"/>
        <v>138.80000000000001</v>
      </c>
    </row>
    <row r="71" spans="1:12" s="6" customFormat="1" ht="15" customHeight="1">
      <c r="A71" s="122" t="s">
        <v>0</v>
      </c>
      <c r="B71" s="18" t="s">
        <v>18</v>
      </c>
      <c r="C71" s="13">
        <f>zápis!H86</f>
        <v>681</v>
      </c>
      <c r="D71" s="14">
        <f>zápis!N86</f>
        <v>0</v>
      </c>
      <c r="E71" s="14">
        <f>zápis!T86</f>
        <v>0</v>
      </c>
      <c r="F71" s="14">
        <f>zápis!Z86</f>
        <v>0</v>
      </c>
      <c r="G71" s="14">
        <f>zápis!AF86</f>
        <v>0</v>
      </c>
      <c r="H71" s="14">
        <f>zápis!AL86</f>
        <v>0</v>
      </c>
      <c r="I71" s="14">
        <f>zápis!AR86</f>
        <v>0</v>
      </c>
      <c r="J71" s="8">
        <f t="shared" si="6"/>
        <v>681</v>
      </c>
      <c r="K71" s="9">
        <f>zápis!AT86</f>
        <v>5</v>
      </c>
      <c r="L71" s="21">
        <f t="shared" si="7"/>
        <v>136.19999999999999</v>
      </c>
    </row>
    <row r="72" spans="1:12" s="6" customFormat="1" ht="15" customHeight="1">
      <c r="A72" s="122" t="s">
        <v>0</v>
      </c>
      <c r="B72" s="720" t="s">
        <v>209</v>
      </c>
      <c r="C72" s="13">
        <f>zápis!H95</f>
        <v>668</v>
      </c>
      <c r="D72" s="14">
        <f>zápis!N95</f>
        <v>0</v>
      </c>
      <c r="E72" s="14">
        <f>zápis!T95</f>
        <v>0</v>
      </c>
      <c r="F72" s="14">
        <f>zápis!Z95</f>
        <v>0</v>
      </c>
      <c r="G72" s="14">
        <f>zápis!AF95</f>
        <v>0</v>
      </c>
      <c r="H72" s="14">
        <f>zápis!AL95</f>
        <v>0</v>
      </c>
      <c r="I72" s="14">
        <f>zápis!AR95</f>
        <v>0</v>
      </c>
      <c r="J72" s="8">
        <f t="shared" si="6"/>
        <v>668</v>
      </c>
      <c r="K72" s="9">
        <f>zápis!AT95</f>
        <v>5</v>
      </c>
      <c r="L72" s="21">
        <f t="shared" si="7"/>
        <v>133.6</v>
      </c>
    </row>
    <row r="73" spans="1:12" s="6" customFormat="1" ht="15" customHeight="1">
      <c r="A73" s="122" t="s">
        <v>0</v>
      </c>
      <c r="B73" s="47" t="s">
        <v>34</v>
      </c>
      <c r="C73" s="13">
        <f>zápis!H84</f>
        <v>654</v>
      </c>
      <c r="D73" s="14">
        <f>zápis!N84</f>
        <v>0</v>
      </c>
      <c r="E73" s="14">
        <f>zápis!T84</f>
        <v>0</v>
      </c>
      <c r="F73" s="14">
        <f>zápis!Z84</f>
        <v>0</v>
      </c>
      <c r="G73" s="14">
        <f>zápis!AF84</f>
        <v>0</v>
      </c>
      <c r="H73" s="14">
        <f>zápis!AL84</f>
        <v>0</v>
      </c>
      <c r="I73" s="14">
        <f>zápis!AR84</f>
        <v>0</v>
      </c>
      <c r="J73" s="8">
        <f t="shared" si="6"/>
        <v>654</v>
      </c>
      <c r="K73" s="9">
        <f>zápis!AT84</f>
        <v>5</v>
      </c>
      <c r="L73" s="21">
        <f t="shared" si="7"/>
        <v>130.80000000000001</v>
      </c>
    </row>
    <row r="74" spans="1:12" s="6" customFormat="1" ht="15" customHeight="1">
      <c r="A74" s="122" t="s">
        <v>0</v>
      </c>
      <c r="B74" s="49" t="s">
        <v>75</v>
      </c>
      <c r="C74" s="13">
        <f>zápis!H90</f>
        <v>653</v>
      </c>
      <c r="D74" s="14">
        <f>zápis!N90</f>
        <v>0</v>
      </c>
      <c r="E74" s="14">
        <f>zápis!T90</f>
        <v>0</v>
      </c>
      <c r="F74" s="14">
        <f>zápis!Z90</f>
        <v>0</v>
      </c>
      <c r="G74" s="14">
        <f>zápis!AF90</f>
        <v>0</v>
      </c>
      <c r="H74" s="14">
        <f>zápis!AL90</f>
        <v>0</v>
      </c>
      <c r="I74" s="14">
        <f>zápis!AR90</f>
        <v>0</v>
      </c>
      <c r="J74" s="8">
        <f t="shared" si="6"/>
        <v>653</v>
      </c>
      <c r="K74" s="9">
        <f>zápis!AT90</f>
        <v>5</v>
      </c>
      <c r="L74" s="21">
        <f t="shared" si="7"/>
        <v>130.6</v>
      </c>
    </row>
    <row r="75" spans="1:12" s="6" customFormat="1" ht="15" customHeight="1">
      <c r="A75" s="122" t="s">
        <v>0</v>
      </c>
      <c r="B75" s="47" t="s">
        <v>7</v>
      </c>
      <c r="C75" s="13">
        <f>zápis!H81</f>
        <v>621</v>
      </c>
      <c r="D75" s="14">
        <f>zápis!N81</f>
        <v>0</v>
      </c>
      <c r="E75" s="14">
        <f>zápis!T81</f>
        <v>0</v>
      </c>
      <c r="F75" s="14">
        <f>zápis!Z81</f>
        <v>0</v>
      </c>
      <c r="G75" s="14">
        <f>zápis!AF81</f>
        <v>0</v>
      </c>
      <c r="H75" s="14">
        <f>zápis!AL81</f>
        <v>0</v>
      </c>
      <c r="I75" s="14">
        <f>zápis!AR81</f>
        <v>0</v>
      </c>
      <c r="J75" s="8">
        <f t="shared" si="6"/>
        <v>621</v>
      </c>
      <c r="K75" s="9">
        <f>zápis!AT81</f>
        <v>5</v>
      </c>
      <c r="L75" s="21">
        <f t="shared" si="7"/>
        <v>124.2</v>
      </c>
    </row>
    <row r="76" spans="1:12" s="6" customFormat="1" ht="15" customHeight="1">
      <c r="A76" s="122" t="s">
        <v>0</v>
      </c>
      <c r="B76" s="47" t="s">
        <v>45</v>
      </c>
      <c r="C76" s="13">
        <f>zápis!H78</f>
        <v>603</v>
      </c>
      <c r="D76" s="14">
        <f>zápis!N78</f>
        <v>0</v>
      </c>
      <c r="E76" s="14">
        <f>zápis!T78</f>
        <v>0</v>
      </c>
      <c r="F76" s="14">
        <f>zápis!Z78</f>
        <v>0</v>
      </c>
      <c r="G76" s="14">
        <f>zápis!AF78</f>
        <v>0</v>
      </c>
      <c r="H76" s="14">
        <f>zápis!AL78</f>
        <v>0</v>
      </c>
      <c r="I76" s="14">
        <f>zápis!AR78</f>
        <v>0</v>
      </c>
      <c r="J76" s="8">
        <f t="shared" si="6"/>
        <v>603</v>
      </c>
      <c r="K76" s="9">
        <f>zápis!AT78</f>
        <v>5</v>
      </c>
      <c r="L76" s="21">
        <f t="shared" si="7"/>
        <v>120.6</v>
      </c>
    </row>
    <row r="77" spans="1:12" s="6" customFormat="1" ht="15" customHeight="1">
      <c r="A77" s="122" t="s">
        <v>0</v>
      </c>
      <c r="B77" s="47" t="s">
        <v>60</v>
      </c>
      <c r="C77" s="13">
        <f>zápis!H85</f>
        <v>0</v>
      </c>
      <c r="D77" s="14">
        <f>zápis!N85</f>
        <v>0</v>
      </c>
      <c r="E77" s="14">
        <f>zápis!T85</f>
        <v>0</v>
      </c>
      <c r="F77" s="14">
        <f>zápis!Z85</f>
        <v>0</v>
      </c>
      <c r="G77" s="14">
        <f>zápis!AF85</f>
        <v>0</v>
      </c>
      <c r="H77" s="14">
        <f>zápis!AL85</f>
        <v>0</v>
      </c>
      <c r="I77" s="14">
        <f>zápis!AR85</f>
        <v>0</v>
      </c>
      <c r="J77" s="8"/>
      <c r="K77" s="9"/>
      <c r="L77" s="21"/>
    </row>
    <row r="78" spans="1:12" s="6" customFormat="1" ht="15" customHeight="1">
      <c r="A78" s="122" t="s">
        <v>0</v>
      </c>
      <c r="B78" s="47" t="s">
        <v>12</v>
      </c>
      <c r="C78" s="13">
        <f>zápis!H79</f>
        <v>0</v>
      </c>
      <c r="D78" s="14">
        <f>zápis!N79</f>
        <v>0</v>
      </c>
      <c r="E78" s="14">
        <f>zápis!T79</f>
        <v>0</v>
      </c>
      <c r="F78" s="14">
        <f>zápis!Z79</f>
        <v>0</v>
      </c>
      <c r="G78" s="14">
        <f>zápis!AF79</f>
        <v>0</v>
      </c>
      <c r="H78" s="14">
        <f>zápis!AL79</f>
        <v>0</v>
      </c>
      <c r="I78" s="14">
        <f>zápis!AR79</f>
        <v>0</v>
      </c>
      <c r="J78" s="8"/>
      <c r="K78" s="9"/>
      <c r="L78" s="21"/>
    </row>
    <row r="79" spans="1:12" s="6" customFormat="1" ht="15" customHeight="1">
      <c r="A79" s="122" t="s">
        <v>0</v>
      </c>
      <c r="B79" s="18" t="s">
        <v>41</v>
      </c>
      <c r="C79" s="13">
        <f>zápis!H82</f>
        <v>0</v>
      </c>
      <c r="D79" s="14">
        <f>zápis!N82</f>
        <v>0</v>
      </c>
      <c r="E79" s="14">
        <f>zápis!T82</f>
        <v>0</v>
      </c>
      <c r="F79" s="14">
        <f>zápis!Z82</f>
        <v>0</v>
      </c>
      <c r="G79" s="14">
        <f>zápis!AF82</f>
        <v>0</v>
      </c>
      <c r="H79" s="14">
        <f>zápis!AL82</f>
        <v>0</v>
      </c>
      <c r="I79" s="14">
        <f>zápis!AR82</f>
        <v>0</v>
      </c>
      <c r="J79" s="8"/>
      <c r="K79" s="9"/>
      <c r="L79" s="21"/>
    </row>
    <row r="80" spans="1:12" s="6" customFormat="1" ht="15" customHeight="1">
      <c r="A80" s="122" t="s">
        <v>0</v>
      </c>
      <c r="B80" s="270" t="s">
        <v>74</v>
      </c>
      <c r="C80" s="13">
        <f>zápis!H89</f>
        <v>0</v>
      </c>
      <c r="D80" s="14">
        <f>zápis!N89</f>
        <v>0</v>
      </c>
      <c r="E80" s="14">
        <f>zápis!T89</f>
        <v>0</v>
      </c>
      <c r="F80" s="14">
        <f>zápis!Z89</f>
        <v>0</v>
      </c>
      <c r="G80" s="14">
        <f>zápis!AF89</f>
        <v>0</v>
      </c>
      <c r="H80" s="14">
        <f>zápis!AL89</f>
        <v>0</v>
      </c>
      <c r="I80" s="14">
        <f>zápis!AR89</f>
        <v>0</v>
      </c>
      <c r="J80" s="8"/>
      <c r="K80" s="9"/>
      <c r="L80" s="21"/>
    </row>
    <row r="81" spans="1:12" s="6" customFormat="1" ht="15" customHeight="1">
      <c r="A81" s="122" t="s">
        <v>0</v>
      </c>
      <c r="B81" s="270" t="s">
        <v>111</v>
      </c>
      <c r="C81" s="13">
        <f>zápis!H92</f>
        <v>0</v>
      </c>
      <c r="D81" s="14">
        <f>zápis!N92</f>
        <v>0</v>
      </c>
      <c r="E81" s="14">
        <f>zápis!T92</f>
        <v>0</v>
      </c>
      <c r="F81" s="14">
        <f>zápis!Z92</f>
        <v>0</v>
      </c>
      <c r="G81" s="14">
        <f>zápis!AF92</f>
        <v>0</v>
      </c>
      <c r="H81" s="14">
        <f>zápis!AL92</f>
        <v>0</v>
      </c>
      <c r="I81" s="14">
        <f>zápis!AR92</f>
        <v>0</v>
      </c>
      <c r="J81" s="8"/>
      <c r="K81" s="9"/>
      <c r="L81" s="21"/>
    </row>
    <row r="82" spans="1:12" s="6" customFormat="1" ht="15" customHeight="1">
      <c r="A82" s="123" t="s">
        <v>6</v>
      </c>
      <c r="B82" s="19" t="s">
        <v>97</v>
      </c>
      <c r="C82" s="13">
        <f>zápis!H110</f>
        <v>857</v>
      </c>
      <c r="D82" s="14">
        <f>zápis!N110</f>
        <v>0</v>
      </c>
      <c r="E82" s="14">
        <f>zápis!T110</f>
        <v>0</v>
      </c>
      <c r="F82" s="14">
        <f>zápis!Z110</f>
        <v>0</v>
      </c>
      <c r="G82" s="14">
        <f>zápis!AF110</f>
        <v>0</v>
      </c>
      <c r="H82" s="14">
        <f>zápis!AL110</f>
        <v>0</v>
      </c>
      <c r="I82" s="14">
        <f>zápis!AR110</f>
        <v>0</v>
      </c>
      <c r="J82" s="8">
        <f t="shared" ref="J82:J91" si="8">SUM(C82:I82)</f>
        <v>857</v>
      </c>
      <c r="K82" s="9">
        <f>zápis!AT110</f>
        <v>5</v>
      </c>
      <c r="L82" s="21">
        <f t="shared" ref="L82:L91" si="9">IF(K82=0,"",J82/K82)</f>
        <v>171.4</v>
      </c>
    </row>
    <row r="83" spans="1:12" s="6" customFormat="1" ht="15" customHeight="1">
      <c r="A83" s="123" t="s">
        <v>6</v>
      </c>
      <c r="B83" s="19" t="s">
        <v>93</v>
      </c>
      <c r="C83" s="13">
        <f>zápis!H99</f>
        <v>844</v>
      </c>
      <c r="D83" s="14">
        <f>zápis!N99</f>
        <v>0</v>
      </c>
      <c r="E83" s="14">
        <f>zápis!T99</f>
        <v>0</v>
      </c>
      <c r="F83" s="14">
        <f>zápis!Z99</f>
        <v>0</v>
      </c>
      <c r="G83" s="14">
        <f>zápis!AF99</f>
        <v>0</v>
      </c>
      <c r="H83" s="14">
        <f>zápis!AL99</f>
        <v>0</v>
      </c>
      <c r="I83" s="14">
        <f>zápis!AR99</f>
        <v>0</v>
      </c>
      <c r="J83" s="8">
        <f t="shared" si="8"/>
        <v>844</v>
      </c>
      <c r="K83" s="9">
        <f>zápis!AT99</f>
        <v>5</v>
      </c>
      <c r="L83" s="21">
        <f t="shared" si="9"/>
        <v>168.8</v>
      </c>
    </row>
    <row r="84" spans="1:12" s="6" customFormat="1" ht="15" customHeight="1">
      <c r="A84" s="123" t="s">
        <v>6</v>
      </c>
      <c r="B84" s="693" t="s">
        <v>222</v>
      </c>
      <c r="C84" s="13">
        <f>zápis!H107</f>
        <v>756</v>
      </c>
      <c r="D84" s="14">
        <f>zápis!N107</f>
        <v>0</v>
      </c>
      <c r="E84" s="14">
        <f>zápis!T107</f>
        <v>0</v>
      </c>
      <c r="F84" s="14">
        <f>zápis!Z107</f>
        <v>0</v>
      </c>
      <c r="G84" s="14">
        <f>zápis!AF107</f>
        <v>0</v>
      </c>
      <c r="H84" s="14">
        <f>zápis!AL107</f>
        <v>0</v>
      </c>
      <c r="I84" s="14">
        <f>zápis!AR107</f>
        <v>0</v>
      </c>
      <c r="J84" s="8">
        <f t="shared" si="8"/>
        <v>756</v>
      </c>
      <c r="K84" s="9">
        <f>zápis!AT107</f>
        <v>5</v>
      </c>
      <c r="L84" s="21">
        <f t="shared" si="9"/>
        <v>151.19999999999999</v>
      </c>
    </row>
    <row r="85" spans="1:12" s="6" customFormat="1" ht="15" customHeight="1">
      <c r="A85" s="123" t="s">
        <v>6</v>
      </c>
      <c r="B85" s="19" t="s">
        <v>59</v>
      </c>
      <c r="C85" s="13">
        <f>zápis!H111</f>
        <v>748</v>
      </c>
      <c r="D85" s="14">
        <f>zápis!N111</f>
        <v>0</v>
      </c>
      <c r="E85" s="14">
        <f>zápis!T111</f>
        <v>0</v>
      </c>
      <c r="F85" s="14">
        <f>zápis!Z111</f>
        <v>0</v>
      </c>
      <c r="G85" s="14">
        <f>zápis!AF111</f>
        <v>0</v>
      </c>
      <c r="H85" s="14">
        <f>zápis!AL111</f>
        <v>0</v>
      </c>
      <c r="I85" s="14">
        <f>zápis!AR111</f>
        <v>0</v>
      </c>
      <c r="J85" s="8">
        <f t="shared" si="8"/>
        <v>748</v>
      </c>
      <c r="K85" s="9">
        <f>zápis!AT111</f>
        <v>5</v>
      </c>
      <c r="L85" s="21">
        <f t="shared" si="9"/>
        <v>149.6</v>
      </c>
    </row>
    <row r="86" spans="1:12" s="6" customFormat="1" ht="15" customHeight="1">
      <c r="A86" s="123" t="s">
        <v>6</v>
      </c>
      <c r="B86" s="19" t="s">
        <v>101</v>
      </c>
      <c r="C86" s="13">
        <f>zápis!H116</f>
        <v>710</v>
      </c>
      <c r="D86" s="14">
        <f>zápis!N116</f>
        <v>0</v>
      </c>
      <c r="E86" s="14">
        <f>zápis!T116</f>
        <v>0</v>
      </c>
      <c r="F86" s="14">
        <f>zápis!Z116</f>
        <v>0</v>
      </c>
      <c r="G86" s="14">
        <f>zápis!AF116</f>
        <v>0</v>
      </c>
      <c r="H86" s="14">
        <f>zápis!AL116</f>
        <v>0</v>
      </c>
      <c r="I86" s="14">
        <f>zápis!AR116</f>
        <v>0</v>
      </c>
      <c r="J86" s="8">
        <f t="shared" si="8"/>
        <v>710</v>
      </c>
      <c r="K86" s="9">
        <f>zápis!AT116</f>
        <v>5</v>
      </c>
      <c r="L86" s="21">
        <f t="shared" si="9"/>
        <v>142</v>
      </c>
    </row>
    <row r="87" spans="1:12" s="6" customFormat="1" ht="15" customHeight="1">
      <c r="A87" s="123" t="s">
        <v>6</v>
      </c>
      <c r="B87" s="19" t="s">
        <v>102</v>
      </c>
      <c r="C87" s="13">
        <f>zápis!H103</f>
        <v>686</v>
      </c>
      <c r="D87" s="14">
        <f>zápis!N103</f>
        <v>0</v>
      </c>
      <c r="E87" s="14">
        <f>zápis!T103</f>
        <v>0</v>
      </c>
      <c r="F87" s="14">
        <f>zápis!Z103</f>
        <v>0</v>
      </c>
      <c r="G87" s="14">
        <f>zápis!AF103</f>
        <v>0</v>
      </c>
      <c r="H87" s="14">
        <f>zápis!AL103</f>
        <v>0</v>
      </c>
      <c r="I87" s="14">
        <f>zápis!AR103</f>
        <v>0</v>
      </c>
      <c r="J87" s="8">
        <f t="shared" si="8"/>
        <v>686</v>
      </c>
      <c r="K87" s="9">
        <f>zápis!AT103</f>
        <v>5</v>
      </c>
      <c r="L87" s="21">
        <f t="shared" si="9"/>
        <v>137.19999999999999</v>
      </c>
    </row>
    <row r="88" spans="1:12" s="6" customFormat="1" ht="15" customHeight="1">
      <c r="A88" s="123" t="s">
        <v>6</v>
      </c>
      <c r="B88" s="19" t="s">
        <v>64</v>
      </c>
      <c r="C88" s="13">
        <f>zápis!H108</f>
        <v>675</v>
      </c>
      <c r="D88" s="14">
        <f>zápis!N108</f>
        <v>0</v>
      </c>
      <c r="E88" s="14">
        <f>zápis!T108</f>
        <v>0</v>
      </c>
      <c r="F88" s="14">
        <f>zápis!Z108</f>
        <v>0</v>
      </c>
      <c r="G88" s="14">
        <f>zápis!AF108</f>
        <v>0</v>
      </c>
      <c r="H88" s="14">
        <f>zápis!AL108</f>
        <v>0</v>
      </c>
      <c r="I88" s="14">
        <f>zápis!AR108</f>
        <v>0</v>
      </c>
      <c r="J88" s="8">
        <f t="shared" si="8"/>
        <v>675</v>
      </c>
      <c r="K88" s="9">
        <f>zápis!AT108</f>
        <v>5</v>
      </c>
      <c r="L88" s="21">
        <f t="shared" si="9"/>
        <v>135</v>
      </c>
    </row>
    <row r="89" spans="1:12" s="6" customFormat="1" ht="15" customHeight="1">
      <c r="A89" s="123" t="s">
        <v>6</v>
      </c>
      <c r="B89" s="19" t="s">
        <v>100</v>
      </c>
      <c r="C89" s="13">
        <f>zápis!H115</f>
        <v>585</v>
      </c>
      <c r="D89" s="14">
        <f>zápis!N115</f>
        <v>0</v>
      </c>
      <c r="E89" s="14">
        <f>zápis!T115</f>
        <v>0</v>
      </c>
      <c r="F89" s="14">
        <f>zápis!Z115</f>
        <v>0</v>
      </c>
      <c r="G89" s="14">
        <f>zápis!AF115</f>
        <v>0</v>
      </c>
      <c r="H89" s="14">
        <f>zápis!AL115</f>
        <v>0</v>
      </c>
      <c r="I89" s="14">
        <f>zápis!AR115</f>
        <v>0</v>
      </c>
      <c r="J89" s="8">
        <f t="shared" si="8"/>
        <v>585</v>
      </c>
      <c r="K89" s="9">
        <f>zápis!AT115</f>
        <v>5</v>
      </c>
      <c r="L89" s="21">
        <f t="shared" si="9"/>
        <v>117</v>
      </c>
    </row>
    <row r="90" spans="1:12" s="6" customFormat="1" ht="15" customHeight="1">
      <c r="A90" s="123" t="s">
        <v>6</v>
      </c>
      <c r="B90" s="19" t="s">
        <v>13</v>
      </c>
      <c r="C90" s="13">
        <f>zápis!H104</f>
        <v>530</v>
      </c>
      <c r="D90" s="14">
        <f>zápis!N104</f>
        <v>0</v>
      </c>
      <c r="E90" s="14">
        <f>zápis!T104</f>
        <v>0</v>
      </c>
      <c r="F90" s="14">
        <f>zápis!Z104</f>
        <v>0</v>
      </c>
      <c r="G90" s="14">
        <f>zápis!AF104</f>
        <v>0</v>
      </c>
      <c r="H90" s="14">
        <f>zápis!AL104</f>
        <v>0</v>
      </c>
      <c r="I90" s="14">
        <f>zápis!AR104</f>
        <v>0</v>
      </c>
      <c r="J90" s="8">
        <f t="shared" si="8"/>
        <v>530</v>
      </c>
      <c r="K90" s="9">
        <f>zápis!AT104</f>
        <v>5</v>
      </c>
      <c r="L90" s="21">
        <f t="shared" si="9"/>
        <v>106</v>
      </c>
    </row>
    <row r="91" spans="1:12" s="6" customFormat="1" ht="15" customHeight="1">
      <c r="A91" s="123" t="s">
        <v>6</v>
      </c>
      <c r="B91" s="19" t="s">
        <v>223</v>
      </c>
      <c r="C91" s="13">
        <f>zápis!H106</f>
        <v>433</v>
      </c>
      <c r="D91" s="14">
        <f>zápis!N106</f>
        <v>0</v>
      </c>
      <c r="E91" s="14">
        <f>zápis!T106</f>
        <v>0</v>
      </c>
      <c r="F91" s="14">
        <f>zápis!Z106</f>
        <v>0</v>
      </c>
      <c r="G91" s="14">
        <f>zápis!AF106</f>
        <v>0</v>
      </c>
      <c r="H91" s="14">
        <f>zápis!AL106</f>
        <v>0</v>
      </c>
      <c r="I91" s="14">
        <f>zápis!AR106</f>
        <v>0</v>
      </c>
      <c r="J91" s="8">
        <f t="shared" si="8"/>
        <v>433</v>
      </c>
      <c r="K91" s="9">
        <f>zápis!AT106</f>
        <v>5</v>
      </c>
      <c r="L91" s="21">
        <f t="shared" si="9"/>
        <v>86.6</v>
      </c>
    </row>
    <row r="92" spans="1:12" s="6" customFormat="1" ht="15" customHeight="1">
      <c r="A92" s="123" t="s">
        <v>6</v>
      </c>
      <c r="B92" s="83" t="s">
        <v>71</v>
      </c>
      <c r="C92" s="13">
        <f>zápis!H109</f>
        <v>0</v>
      </c>
      <c r="D92" s="14">
        <f>zápis!N109</f>
        <v>0</v>
      </c>
      <c r="E92" s="14">
        <f>zápis!T109</f>
        <v>0</v>
      </c>
      <c r="F92" s="14">
        <f>zápis!Z109</f>
        <v>0</v>
      </c>
      <c r="G92" s="14">
        <f>zápis!AF109</f>
        <v>0</v>
      </c>
      <c r="H92" s="14">
        <f>zápis!AL109</f>
        <v>0</v>
      </c>
      <c r="I92" s="14">
        <f>zápis!AR109</f>
        <v>0</v>
      </c>
      <c r="J92" s="8"/>
      <c r="K92" s="9"/>
      <c r="L92" s="21"/>
    </row>
    <row r="93" spans="1:12" s="6" customFormat="1" ht="15" customHeight="1">
      <c r="A93" s="123" t="s">
        <v>6</v>
      </c>
      <c r="B93" s="19" t="s">
        <v>95</v>
      </c>
      <c r="C93" s="13">
        <f>zápis!H113</f>
        <v>0</v>
      </c>
      <c r="D93" s="14">
        <f>zápis!N113</f>
        <v>0</v>
      </c>
      <c r="E93" s="14">
        <f>zápis!T113</f>
        <v>0</v>
      </c>
      <c r="F93" s="14">
        <f>zápis!Z113</f>
        <v>0</v>
      </c>
      <c r="G93" s="14">
        <f>zápis!AF113</f>
        <v>0</v>
      </c>
      <c r="H93" s="14">
        <f>zápis!AL113</f>
        <v>0</v>
      </c>
      <c r="I93" s="14">
        <f>zápis!AR113</f>
        <v>0</v>
      </c>
      <c r="J93" s="8"/>
      <c r="K93" s="9"/>
      <c r="L93" s="21"/>
    </row>
    <row r="94" spans="1:12" s="6" customFormat="1" ht="15" customHeight="1">
      <c r="A94" s="123" t="s">
        <v>6</v>
      </c>
      <c r="B94" s="19" t="s">
        <v>91</v>
      </c>
      <c r="C94" s="13">
        <f>zápis!H114</f>
        <v>0</v>
      </c>
      <c r="D94" s="14">
        <f>zápis!N114</f>
        <v>0</v>
      </c>
      <c r="E94" s="14">
        <f>zápis!T114</f>
        <v>0</v>
      </c>
      <c r="F94" s="14">
        <f>zápis!Z114</f>
        <v>0</v>
      </c>
      <c r="G94" s="14">
        <f>zápis!AF114</f>
        <v>0</v>
      </c>
      <c r="H94" s="14">
        <f>zápis!AL114</f>
        <v>0</v>
      </c>
      <c r="I94" s="14">
        <f>zápis!AR114</f>
        <v>0</v>
      </c>
      <c r="J94" s="8"/>
      <c r="K94" s="9"/>
      <c r="L94" s="21"/>
    </row>
    <row r="95" spans="1:12" s="6" customFormat="1" ht="15" customHeight="1">
      <c r="A95" s="123" t="s">
        <v>6</v>
      </c>
      <c r="B95" s="50" t="s">
        <v>43</v>
      </c>
      <c r="C95" s="13">
        <f>zápis!H101</f>
        <v>0</v>
      </c>
      <c r="D95" s="14">
        <f>zápis!N101</f>
        <v>0</v>
      </c>
      <c r="E95" s="14">
        <f>zápis!T101</f>
        <v>0</v>
      </c>
      <c r="F95" s="14">
        <f>zápis!Z101</f>
        <v>0</v>
      </c>
      <c r="G95" s="14">
        <f>zápis!AF101</f>
        <v>0</v>
      </c>
      <c r="H95" s="14">
        <f>zápis!AL101</f>
        <v>0</v>
      </c>
      <c r="I95" s="14">
        <f>zápis!AR101</f>
        <v>0</v>
      </c>
      <c r="J95" s="8"/>
      <c r="K95" s="9"/>
      <c r="L95" s="21"/>
    </row>
    <row r="96" spans="1:12" s="6" customFormat="1" ht="15" customHeight="1">
      <c r="A96" s="123" t="s">
        <v>6</v>
      </c>
      <c r="B96" s="263" t="s">
        <v>167</v>
      </c>
      <c r="C96" s="13">
        <f>zápis!H118</f>
        <v>0</v>
      </c>
      <c r="D96" s="14">
        <f>zápis!N118</f>
        <v>0</v>
      </c>
      <c r="E96" s="14">
        <f>zápis!T118</f>
        <v>0</v>
      </c>
      <c r="F96" s="14">
        <f>zápis!Z118</f>
        <v>0</v>
      </c>
      <c r="G96" s="14">
        <f>zápis!AF118</f>
        <v>0</v>
      </c>
      <c r="H96" s="14">
        <f>zápis!AL118</f>
        <v>0</v>
      </c>
      <c r="I96" s="14">
        <f>zápis!AR118</f>
        <v>0</v>
      </c>
      <c r="J96" s="8"/>
      <c r="K96" s="9"/>
      <c r="L96" s="21"/>
    </row>
    <row r="97" spans="1:15" s="6" customFormat="1" ht="15" customHeight="1">
      <c r="A97" s="123" t="s">
        <v>6</v>
      </c>
      <c r="B97" s="263" t="s">
        <v>157</v>
      </c>
      <c r="C97" s="13">
        <f>zápis!H117</f>
        <v>0</v>
      </c>
      <c r="D97" s="14">
        <f>zápis!N117</f>
        <v>0</v>
      </c>
      <c r="E97" s="14">
        <f>zápis!T117</f>
        <v>0</v>
      </c>
      <c r="F97" s="14">
        <f>zápis!Z117</f>
        <v>0</v>
      </c>
      <c r="G97" s="14">
        <f>zápis!AF117</f>
        <v>0</v>
      </c>
      <c r="H97" s="14">
        <f>zápis!AL117</f>
        <v>0</v>
      </c>
      <c r="I97" s="14">
        <f>zápis!AR117</f>
        <v>0</v>
      </c>
      <c r="J97" s="8"/>
      <c r="K97" s="9"/>
      <c r="L97" s="21"/>
    </row>
    <row r="98" spans="1:15" s="6" customFormat="1" ht="15" customHeight="1">
      <c r="A98" s="123" t="s">
        <v>6</v>
      </c>
      <c r="B98" s="19" t="s">
        <v>10</v>
      </c>
      <c r="C98" s="13">
        <f>zápis!H102</f>
        <v>0</v>
      </c>
      <c r="D98" s="14">
        <f>zápis!N102</f>
        <v>0</v>
      </c>
      <c r="E98" s="14">
        <f>zápis!T102</f>
        <v>0</v>
      </c>
      <c r="F98" s="14">
        <f>zápis!Z102</f>
        <v>0</v>
      </c>
      <c r="G98" s="14">
        <f>zápis!AF102</f>
        <v>0</v>
      </c>
      <c r="H98" s="14">
        <f>zápis!AL102</f>
        <v>0</v>
      </c>
      <c r="I98" s="14">
        <f>zápis!AR102</f>
        <v>0</v>
      </c>
      <c r="J98" s="8"/>
      <c r="K98" s="9"/>
      <c r="L98" s="21"/>
    </row>
    <row r="99" spans="1:15" s="6" customFormat="1" ht="15" customHeight="1">
      <c r="A99" s="123" t="s">
        <v>6</v>
      </c>
      <c r="B99" s="87" t="s">
        <v>119</v>
      </c>
      <c r="C99" s="13">
        <f>zápis!H100</f>
        <v>0</v>
      </c>
      <c r="D99" s="14">
        <f>zápis!N100</f>
        <v>0</v>
      </c>
      <c r="E99" s="14">
        <f>zápis!T100</f>
        <v>0</v>
      </c>
      <c r="F99" s="14">
        <f>zápis!Z100</f>
        <v>0</v>
      </c>
      <c r="G99" s="14">
        <f>zápis!AF100</f>
        <v>0</v>
      </c>
      <c r="H99" s="14">
        <f>zápis!AL100</f>
        <v>0</v>
      </c>
      <c r="I99" s="14">
        <f>zápis!AR100</f>
        <v>0</v>
      </c>
      <c r="J99" s="8"/>
      <c r="K99" s="9"/>
      <c r="L99" s="21"/>
    </row>
    <row r="100" spans="1:15" s="6" customFormat="1" ht="15" customHeight="1">
      <c r="A100" s="123" t="s">
        <v>6</v>
      </c>
      <c r="B100" s="87" t="s">
        <v>25</v>
      </c>
      <c r="C100" s="13">
        <f>zápis!H105</f>
        <v>0</v>
      </c>
      <c r="D100" s="14">
        <f>zápis!N105</f>
        <v>0</v>
      </c>
      <c r="E100" s="14">
        <f>zápis!T105</f>
        <v>0</v>
      </c>
      <c r="F100" s="14">
        <f>zápis!Z105</f>
        <v>0</v>
      </c>
      <c r="G100" s="14">
        <f>zápis!AF105</f>
        <v>0</v>
      </c>
      <c r="H100" s="14">
        <f>zápis!AL105</f>
        <v>0</v>
      </c>
      <c r="I100" s="14">
        <f>zápis!AR105</f>
        <v>0</v>
      </c>
      <c r="J100" s="8"/>
      <c r="K100" s="9"/>
      <c r="L100" s="21"/>
    </row>
    <row r="101" spans="1:15" s="6" customFormat="1" ht="15" customHeight="1">
      <c r="A101" s="123" t="s">
        <v>6</v>
      </c>
      <c r="B101" s="404" t="s">
        <v>99</v>
      </c>
      <c r="C101" s="13">
        <f>zápis!H112</f>
        <v>0</v>
      </c>
      <c r="D101" s="14">
        <f>zápis!N112</f>
        <v>0</v>
      </c>
      <c r="E101" s="14">
        <f>zápis!T112</f>
        <v>0</v>
      </c>
      <c r="F101" s="14">
        <f>zápis!Z112</f>
        <v>0</v>
      </c>
      <c r="G101" s="14">
        <f>zápis!AF112</f>
        <v>0</v>
      </c>
      <c r="H101" s="14">
        <f>zápis!AL112</f>
        <v>0</v>
      </c>
      <c r="I101" s="14">
        <f>zápis!AR112</f>
        <v>0</v>
      </c>
      <c r="J101" s="8"/>
      <c r="K101" s="9"/>
      <c r="L101" s="21"/>
    </row>
    <row r="102" spans="1:15" s="6" customFormat="1" ht="15" customHeight="1">
      <c r="A102" s="124"/>
      <c r="B102"/>
      <c r="C102"/>
      <c r="D102" s="7"/>
      <c r="E102" s="7"/>
      <c r="F102" s="7"/>
      <c r="G102" s="7"/>
      <c r="H102" s="7"/>
      <c r="I102" s="7"/>
      <c r="J102"/>
      <c r="K102"/>
      <c r="L102"/>
    </row>
    <row r="103" spans="1:15" s="6" customFormat="1" ht="15" customHeight="1">
      <c r="A103" s="124"/>
      <c r="B103"/>
      <c r="C103"/>
      <c r="D103" s="7"/>
      <c r="E103" s="7"/>
      <c r="F103" s="7"/>
      <c r="G103" s="7"/>
      <c r="H103" s="7"/>
      <c r="I103" s="7"/>
      <c r="J103"/>
      <c r="K103"/>
      <c r="L103"/>
    </row>
    <row r="104" spans="1:15" s="6" customFormat="1" ht="15" customHeight="1">
      <c r="A104" s="124"/>
      <c r="B104"/>
      <c r="C104"/>
      <c r="D104" s="7"/>
      <c r="E104" s="7"/>
      <c r="F104" s="7"/>
      <c r="G104" s="7"/>
      <c r="H104" s="7"/>
      <c r="I104" s="7"/>
      <c r="J104"/>
      <c r="K104"/>
      <c r="L104"/>
      <c r="O104" s="6" t="s">
        <v>19</v>
      </c>
    </row>
    <row r="105" spans="1:15" s="6" customFormat="1" ht="15" customHeight="1">
      <c r="A105" s="124"/>
      <c r="B105"/>
      <c r="C105"/>
      <c r="D105" s="7"/>
      <c r="E105" s="7"/>
      <c r="F105" s="7"/>
      <c r="G105" s="7"/>
      <c r="H105" s="7"/>
      <c r="I105" s="7"/>
      <c r="J105"/>
      <c r="K105"/>
      <c r="L105"/>
    </row>
    <row r="106" spans="1:15" s="6" customFormat="1" ht="15" customHeight="1">
      <c r="A106" s="124"/>
      <c r="B106"/>
      <c r="C106"/>
      <c r="D106" s="7"/>
      <c r="E106" s="7"/>
      <c r="F106" s="7"/>
      <c r="G106" s="7"/>
      <c r="H106" s="7"/>
      <c r="I106" s="7"/>
      <c r="J106"/>
      <c r="K106"/>
      <c r="L106"/>
    </row>
    <row r="107" spans="1:15" s="6" customFormat="1" ht="15" customHeight="1">
      <c r="A107" s="124"/>
      <c r="B107"/>
      <c r="C107"/>
      <c r="D107" s="7"/>
      <c r="E107" s="7"/>
      <c r="F107" s="7"/>
      <c r="G107" s="7"/>
      <c r="H107" s="7"/>
      <c r="I107" s="7"/>
      <c r="J107"/>
      <c r="K107"/>
      <c r="L107"/>
    </row>
    <row r="108" spans="1:15" s="6" customFormat="1" ht="15" customHeight="1">
      <c r="A108" s="124"/>
      <c r="B108"/>
      <c r="C108"/>
      <c r="D108" s="7"/>
      <c r="E108" s="7"/>
      <c r="F108" s="7"/>
      <c r="G108" s="7"/>
      <c r="H108" s="7"/>
      <c r="I108" s="7"/>
      <c r="J108"/>
      <c r="K108"/>
      <c r="L108"/>
    </row>
    <row r="109" spans="1:15" s="6" customFormat="1" ht="15" customHeight="1">
      <c r="A109" s="124"/>
      <c r="B109"/>
      <c r="C109"/>
      <c r="D109" s="7"/>
      <c r="E109" s="7"/>
      <c r="F109" s="7"/>
      <c r="G109" s="7"/>
      <c r="H109" s="7"/>
      <c r="I109" s="7"/>
      <c r="J109"/>
      <c r="K109"/>
      <c r="L109"/>
    </row>
    <row r="110" spans="1:15" ht="15" customHeight="1">
      <c r="M110" s="6"/>
    </row>
    <row r="111" spans="1:15" ht="15" customHeight="1"/>
    <row r="112" spans="1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phoneticPr fontId="0" type="noConversion"/>
  <hyperlinks>
    <hyperlink ref="Q1" location="turnaje!A1" display="zpět"/>
  </hyperlink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tabColor indexed="12"/>
  </sheetPr>
  <dimension ref="A1:HA253"/>
  <sheetViews>
    <sheetView showGridLines="0" showRowColHeaders="0" zoomScale="75" workbookViewId="0">
      <pane ySplit="3" topLeftCell="A4" activePane="bottomLeft" state="frozen"/>
      <selection pane="bottomLeft"/>
    </sheetView>
  </sheetViews>
  <sheetFormatPr defaultRowHeight="12.75"/>
  <cols>
    <col min="1" max="1" width="2.5703125" style="71" customWidth="1"/>
    <col min="2" max="2" width="23.7109375" style="71" customWidth="1"/>
    <col min="3" max="3" width="6.7109375" style="78" customWidth="1"/>
    <col min="4" max="4" width="2.5703125" style="71" customWidth="1"/>
    <col min="5" max="5" width="23.7109375" style="71" customWidth="1"/>
    <col min="6" max="6" width="6.7109375" style="78" customWidth="1"/>
    <col min="7" max="7" width="2.5703125" style="71" customWidth="1"/>
    <col min="8" max="8" width="23.7109375" style="71" customWidth="1"/>
    <col min="9" max="9" width="6.7109375" style="71" customWidth="1"/>
    <col min="10" max="10" width="15.42578125" style="71" customWidth="1"/>
    <col min="11" max="11" width="10.7109375" style="71" customWidth="1"/>
    <col min="12" max="12" width="11.7109375" style="71" customWidth="1"/>
    <col min="13" max="13" width="6.7109375" style="71" customWidth="1"/>
    <col min="14" max="14" width="3" style="71" customWidth="1"/>
    <col min="15" max="15" width="10.7109375" style="71" customWidth="1"/>
    <col min="16" max="16" width="17.7109375" style="71" customWidth="1"/>
    <col min="17" max="17" width="6.7109375" style="71" customWidth="1"/>
    <col min="18" max="18" width="15.42578125" style="71" customWidth="1"/>
    <col min="19" max="19" width="8.140625" style="71" customWidth="1"/>
    <col min="20" max="21" width="4.140625" style="71" customWidth="1"/>
    <col min="22" max="22" width="44.28515625" style="71" customWidth="1"/>
    <col min="23" max="23" width="18.140625" style="71" customWidth="1"/>
    <col min="24" max="24" width="9.140625" style="71"/>
    <col min="25" max="25" width="23.7109375" style="71" customWidth="1"/>
    <col min="26" max="26" width="6.7109375" style="71" customWidth="1"/>
    <col min="27" max="27" width="3.7109375" style="71" customWidth="1"/>
    <col min="28" max="28" width="23.7109375" style="71" customWidth="1"/>
    <col min="29" max="29" width="6.7109375" style="71" customWidth="1"/>
    <col min="30" max="30" width="3.7109375" style="71" customWidth="1"/>
    <col min="31" max="31" width="23.7109375" style="71" customWidth="1"/>
    <col min="32" max="32" width="6.7109375" style="71" customWidth="1"/>
    <col min="33" max="33" width="3.7109375" style="71" customWidth="1"/>
    <col min="34" max="34" width="23.7109375" style="71" customWidth="1"/>
    <col min="35" max="35" width="6.7109375" style="71" customWidth="1"/>
    <col min="36" max="36" width="3.7109375" style="71" customWidth="1"/>
    <col min="37" max="37" width="23.7109375" style="71" customWidth="1"/>
    <col min="38" max="38" width="6.7109375" style="71" customWidth="1"/>
    <col min="39" max="50" width="9.140625" style="71"/>
    <col min="51" max="51" width="23.7109375" style="71" customWidth="1"/>
    <col min="52" max="52" width="6.7109375" style="71" customWidth="1"/>
    <col min="53" max="53" width="3.7109375" style="71" customWidth="1"/>
    <col min="54" max="54" width="23.7109375" style="71" customWidth="1"/>
    <col min="55" max="55" width="6.7109375" style="71" customWidth="1"/>
    <col min="56" max="56" width="3.7109375" style="71" customWidth="1"/>
    <col min="57" max="57" width="23.7109375" style="71" customWidth="1"/>
    <col min="58" max="58" width="6.7109375" style="71" customWidth="1"/>
    <col min="59" max="59" width="3.7109375" style="71" customWidth="1"/>
    <col min="60" max="60" width="23.7109375" style="71" customWidth="1"/>
    <col min="61" max="61" width="6.7109375" style="71" customWidth="1"/>
    <col min="62" max="62" width="3.7109375" style="71" customWidth="1"/>
    <col min="63" max="63" width="23.7109375" style="71" customWidth="1"/>
    <col min="64" max="64" width="6.7109375" style="71" customWidth="1"/>
    <col min="65" max="76" width="9.140625" style="71"/>
    <col min="77" max="77" width="23.7109375" style="71" customWidth="1"/>
    <col min="78" max="78" width="6.7109375" style="71" customWidth="1"/>
    <col min="79" max="79" width="3.7109375" style="71" customWidth="1"/>
    <col min="80" max="80" width="23.7109375" style="71" customWidth="1"/>
    <col min="81" max="81" width="6.7109375" style="71" customWidth="1"/>
    <col min="82" max="82" width="3.7109375" style="71" customWidth="1"/>
    <col min="83" max="83" width="23.7109375" style="71" customWidth="1"/>
    <col min="84" max="84" width="6.7109375" style="71" customWidth="1"/>
    <col min="85" max="85" width="3.7109375" style="71" customWidth="1"/>
    <col min="86" max="86" width="23.7109375" style="71" customWidth="1"/>
    <col min="87" max="87" width="6.7109375" style="71" customWidth="1"/>
    <col min="88" max="88" width="3.7109375" style="71" customWidth="1"/>
    <col min="89" max="89" width="23.7109375" style="71" customWidth="1"/>
    <col min="90" max="90" width="6.7109375" style="71" customWidth="1"/>
    <col min="91" max="102" width="9.140625" style="71"/>
    <col min="103" max="103" width="23.7109375" style="71" customWidth="1"/>
    <col min="104" max="104" width="6.7109375" style="71" customWidth="1"/>
    <col min="105" max="105" width="3.7109375" style="71" customWidth="1"/>
    <col min="106" max="106" width="23.7109375" style="71" customWidth="1"/>
    <col min="107" max="107" width="6.7109375" style="71" customWidth="1"/>
    <col min="108" max="108" width="3.7109375" style="71" customWidth="1"/>
    <col min="109" max="109" width="23.7109375" style="71" customWidth="1"/>
    <col min="110" max="110" width="6.7109375" style="71" customWidth="1"/>
    <col min="111" max="111" width="3.7109375" style="71" customWidth="1"/>
    <col min="112" max="112" width="23.7109375" style="71" customWidth="1"/>
    <col min="113" max="113" width="6.7109375" style="71" customWidth="1"/>
    <col min="114" max="114" width="3.7109375" style="71" customWidth="1"/>
    <col min="115" max="115" width="23.7109375" style="71" customWidth="1"/>
    <col min="116" max="116" width="6.7109375" style="71" customWidth="1"/>
    <col min="117" max="128" width="9.140625" style="71"/>
    <col min="129" max="129" width="23.7109375" style="71" customWidth="1"/>
    <col min="130" max="130" width="6.7109375" style="71" customWidth="1"/>
    <col min="131" max="131" width="3.7109375" style="71" customWidth="1"/>
    <col min="132" max="132" width="23.7109375" style="71" customWidth="1"/>
    <col min="133" max="133" width="6.7109375" style="71" customWidth="1"/>
    <col min="134" max="134" width="3.7109375" style="71" customWidth="1"/>
    <col min="135" max="135" width="23.7109375" style="71" customWidth="1"/>
    <col min="136" max="136" width="6.7109375" style="71" customWidth="1"/>
    <col min="137" max="137" width="3.7109375" style="71" customWidth="1"/>
    <col min="138" max="138" width="23.7109375" style="71" customWidth="1"/>
    <col min="139" max="139" width="6.7109375" style="71" customWidth="1"/>
    <col min="140" max="140" width="3.7109375" style="71" customWidth="1"/>
    <col min="141" max="141" width="23.7109375" style="71" customWidth="1"/>
    <col min="142" max="142" width="6.7109375" style="71" customWidth="1"/>
    <col min="143" max="154" width="9.140625" style="71"/>
    <col min="155" max="155" width="23.7109375" style="71" customWidth="1"/>
    <col min="156" max="156" width="6.7109375" style="71" customWidth="1"/>
    <col min="157" max="157" width="3.7109375" style="71" customWidth="1"/>
    <col min="158" max="158" width="23.7109375" style="71" customWidth="1"/>
    <col min="159" max="159" width="6.7109375" style="71" customWidth="1"/>
    <col min="160" max="160" width="3.7109375" style="71" customWidth="1"/>
    <col min="161" max="161" width="23.7109375" style="71" customWidth="1"/>
    <col min="162" max="162" width="6.7109375" style="71" customWidth="1"/>
    <col min="163" max="163" width="3.7109375" style="71" customWidth="1"/>
    <col min="164" max="164" width="23.7109375" style="71" customWidth="1"/>
    <col min="165" max="165" width="6.7109375" style="71" customWidth="1"/>
    <col min="166" max="166" width="3.7109375" style="71" customWidth="1"/>
    <col min="167" max="167" width="23.7109375" style="71" customWidth="1"/>
    <col min="168" max="168" width="6.7109375" style="71" customWidth="1"/>
    <col min="169" max="180" width="9.140625" style="71"/>
    <col min="181" max="181" width="23.7109375" style="71" customWidth="1"/>
    <col min="182" max="182" width="6.7109375" style="71" customWidth="1"/>
    <col min="183" max="183" width="3.7109375" style="71" customWidth="1"/>
    <col min="184" max="184" width="23.7109375" style="71" customWidth="1"/>
    <col min="185" max="185" width="6.7109375" style="71" customWidth="1"/>
    <col min="186" max="186" width="3.7109375" style="71" customWidth="1"/>
    <col min="187" max="187" width="23.7109375" style="71" customWidth="1"/>
    <col min="188" max="188" width="6.7109375" style="71" customWidth="1"/>
    <col min="189" max="189" width="3.7109375" style="71" customWidth="1"/>
    <col min="190" max="190" width="23.7109375" style="71" customWidth="1"/>
    <col min="191" max="191" width="6.7109375" style="71" customWidth="1"/>
    <col min="192" max="192" width="3.7109375" style="71" customWidth="1"/>
    <col min="193" max="193" width="23.7109375" style="71" customWidth="1"/>
    <col min="194" max="194" width="6.7109375" style="71" customWidth="1"/>
    <col min="195" max="16384" width="9.140625" style="71"/>
  </cols>
  <sheetData>
    <row r="1" spans="1:209" ht="22.5" customHeight="1">
      <c r="A1" s="269"/>
      <c r="B1" s="793" t="s">
        <v>175</v>
      </c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244"/>
      <c r="S1" s="244"/>
      <c r="T1" s="244"/>
      <c r="U1" s="244"/>
      <c r="V1" s="70"/>
      <c r="W1" s="70"/>
      <c r="X1" s="795" t="s">
        <v>114</v>
      </c>
      <c r="Y1" s="800" t="s">
        <v>198</v>
      </c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795" t="s">
        <v>114</v>
      </c>
      <c r="AY1" s="806" t="s">
        <v>199</v>
      </c>
      <c r="AZ1" s="807"/>
      <c r="BA1" s="807"/>
      <c r="BB1" s="807"/>
      <c r="BC1" s="807"/>
      <c r="BD1" s="807"/>
      <c r="BE1" s="807"/>
      <c r="BF1" s="807"/>
      <c r="BG1" s="807"/>
      <c r="BH1" s="807"/>
      <c r="BI1" s="807"/>
      <c r="BJ1" s="807"/>
      <c r="BK1" s="807"/>
      <c r="BL1" s="807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795" t="s">
        <v>114</v>
      </c>
      <c r="BY1" s="808" t="s">
        <v>201</v>
      </c>
      <c r="BZ1" s="809"/>
      <c r="CA1" s="809"/>
      <c r="CB1" s="809"/>
      <c r="CC1" s="809"/>
      <c r="CD1" s="809"/>
      <c r="CE1" s="809"/>
      <c r="CF1" s="809"/>
      <c r="CG1" s="809"/>
      <c r="CH1" s="809"/>
      <c r="CI1" s="809"/>
      <c r="CJ1" s="809"/>
      <c r="CK1" s="809"/>
      <c r="CL1" s="809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795" t="s">
        <v>114</v>
      </c>
      <c r="CY1" s="802" t="s">
        <v>203</v>
      </c>
      <c r="CZ1" s="803"/>
      <c r="DA1" s="803"/>
      <c r="DB1" s="803"/>
      <c r="DC1" s="803"/>
      <c r="DD1" s="803"/>
      <c r="DE1" s="803"/>
      <c r="DF1" s="803"/>
      <c r="DG1" s="803"/>
      <c r="DH1" s="803"/>
      <c r="DI1" s="803"/>
      <c r="DJ1" s="803"/>
      <c r="DK1" s="803"/>
      <c r="DL1" s="803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795" t="s">
        <v>114</v>
      </c>
      <c r="DY1" s="804" t="s">
        <v>176</v>
      </c>
      <c r="DZ1" s="805"/>
      <c r="EA1" s="805"/>
      <c r="EB1" s="805"/>
      <c r="EC1" s="805"/>
      <c r="ED1" s="805"/>
      <c r="EE1" s="805"/>
      <c r="EF1" s="805"/>
      <c r="EG1" s="805"/>
      <c r="EH1" s="805"/>
      <c r="EI1" s="805"/>
      <c r="EJ1" s="805"/>
      <c r="EK1" s="805"/>
      <c r="EL1" s="805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795" t="s">
        <v>114</v>
      </c>
      <c r="EY1" s="810" t="s">
        <v>177</v>
      </c>
      <c r="EZ1" s="811"/>
      <c r="FA1" s="811"/>
      <c r="FB1" s="811"/>
      <c r="FC1" s="811"/>
      <c r="FD1" s="811"/>
      <c r="FE1" s="811"/>
      <c r="FF1" s="811"/>
      <c r="FG1" s="811"/>
      <c r="FH1" s="811"/>
      <c r="FI1" s="811"/>
      <c r="FJ1" s="811"/>
      <c r="FK1" s="811"/>
      <c r="FL1" s="811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795" t="s">
        <v>114</v>
      </c>
      <c r="FY1" s="812" t="s">
        <v>178</v>
      </c>
      <c r="FZ1" s="813"/>
      <c r="GA1" s="813"/>
      <c r="GB1" s="813"/>
      <c r="GC1" s="813"/>
      <c r="GD1" s="813"/>
      <c r="GE1" s="813"/>
      <c r="GF1" s="813"/>
      <c r="GG1" s="813"/>
      <c r="GH1" s="813"/>
      <c r="GI1" s="813"/>
      <c r="GJ1" s="813"/>
      <c r="GK1" s="813"/>
      <c r="GL1" s="814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</row>
    <row r="2" spans="1:209" ht="39.950000000000003" customHeight="1">
      <c r="A2" s="269"/>
      <c r="B2" s="779" t="s">
        <v>22</v>
      </c>
      <c r="C2" s="779"/>
      <c r="D2" s="72"/>
      <c r="E2" s="779" t="s">
        <v>23</v>
      </c>
      <c r="F2" s="779"/>
      <c r="G2" s="72"/>
      <c r="H2" s="779" t="s">
        <v>24</v>
      </c>
      <c r="I2" s="779"/>
      <c r="J2" s="258" t="s">
        <v>151</v>
      </c>
      <c r="K2" s="781" t="s">
        <v>104</v>
      </c>
      <c r="L2" s="781"/>
      <c r="M2" s="781"/>
      <c r="N2" s="781"/>
      <c r="O2" s="781"/>
      <c r="P2" s="781"/>
      <c r="Q2" s="781"/>
      <c r="R2" s="70"/>
      <c r="S2" s="70"/>
      <c r="T2" s="70"/>
      <c r="U2" s="70"/>
      <c r="V2" s="70"/>
      <c r="W2" s="70"/>
      <c r="X2" s="795"/>
      <c r="Y2" s="791" t="s">
        <v>37</v>
      </c>
      <c r="Z2" s="791"/>
      <c r="AA2" s="89"/>
      <c r="AB2" s="791" t="s">
        <v>38</v>
      </c>
      <c r="AC2" s="791"/>
      <c r="AD2" s="89"/>
      <c r="AE2" s="791" t="s">
        <v>22</v>
      </c>
      <c r="AF2" s="791"/>
      <c r="AG2" s="89"/>
      <c r="AH2" s="791" t="s">
        <v>23</v>
      </c>
      <c r="AI2" s="791"/>
      <c r="AJ2" s="89"/>
      <c r="AK2" s="791" t="s">
        <v>63</v>
      </c>
      <c r="AL2" s="791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795"/>
      <c r="AY2" s="791" t="s">
        <v>37</v>
      </c>
      <c r="AZ2" s="791"/>
      <c r="BA2" s="89"/>
      <c r="BB2" s="791" t="s">
        <v>38</v>
      </c>
      <c r="BC2" s="791"/>
      <c r="BD2" s="89"/>
      <c r="BE2" s="791" t="s">
        <v>22</v>
      </c>
      <c r="BF2" s="791"/>
      <c r="BG2" s="89"/>
      <c r="BH2" s="791" t="s">
        <v>23</v>
      </c>
      <c r="BI2" s="791"/>
      <c r="BJ2" s="89"/>
      <c r="BK2" s="791" t="s">
        <v>63</v>
      </c>
      <c r="BL2" s="791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795"/>
      <c r="BY2" s="791" t="s">
        <v>37</v>
      </c>
      <c r="BZ2" s="791"/>
      <c r="CA2" s="89"/>
      <c r="CB2" s="791" t="s">
        <v>38</v>
      </c>
      <c r="CC2" s="791"/>
      <c r="CD2" s="89"/>
      <c r="CE2" s="791" t="s">
        <v>22</v>
      </c>
      <c r="CF2" s="791"/>
      <c r="CG2" s="89"/>
      <c r="CH2" s="791" t="s">
        <v>23</v>
      </c>
      <c r="CI2" s="791"/>
      <c r="CJ2" s="89"/>
      <c r="CK2" s="791" t="s">
        <v>63</v>
      </c>
      <c r="CL2" s="791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795"/>
      <c r="CY2" s="791" t="s">
        <v>37</v>
      </c>
      <c r="CZ2" s="791"/>
      <c r="DA2" s="89"/>
      <c r="DB2" s="791" t="s">
        <v>38</v>
      </c>
      <c r="DC2" s="791"/>
      <c r="DD2" s="89"/>
      <c r="DE2" s="791" t="s">
        <v>22</v>
      </c>
      <c r="DF2" s="791"/>
      <c r="DG2" s="89"/>
      <c r="DH2" s="791" t="s">
        <v>23</v>
      </c>
      <c r="DI2" s="791"/>
      <c r="DJ2" s="89"/>
      <c r="DK2" s="791" t="s">
        <v>63</v>
      </c>
      <c r="DL2" s="791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795"/>
      <c r="DY2" s="791" t="s">
        <v>37</v>
      </c>
      <c r="DZ2" s="791"/>
      <c r="EA2" s="89"/>
      <c r="EB2" s="791" t="s">
        <v>38</v>
      </c>
      <c r="EC2" s="791"/>
      <c r="ED2" s="89"/>
      <c r="EE2" s="791" t="s">
        <v>22</v>
      </c>
      <c r="EF2" s="791"/>
      <c r="EG2" s="89"/>
      <c r="EH2" s="791" t="s">
        <v>23</v>
      </c>
      <c r="EI2" s="791"/>
      <c r="EJ2" s="89"/>
      <c r="EK2" s="791" t="s">
        <v>63</v>
      </c>
      <c r="EL2" s="791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795"/>
      <c r="EY2" s="791" t="s">
        <v>37</v>
      </c>
      <c r="EZ2" s="791"/>
      <c r="FA2" s="89"/>
      <c r="FB2" s="791" t="s">
        <v>38</v>
      </c>
      <c r="FC2" s="791"/>
      <c r="FD2" s="89"/>
      <c r="FE2" s="791" t="s">
        <v>22</v>
      </c>
      <c r="FF2" s="791"/>
      <c r="FG2" s="89"/>
      <c r="FH2" s="791" t="s">
        <v>23</v>
      </c>
      <c r="FI2" s="791"/>
      <c r="FJ2" s="89"/>
      <c r="FK2" s="791" t="s">
        <v>63</v>
      </c>
      <c r="FL2" s="791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795"/>
      <c r="FY2" s="791" t="s">
        <v>37</v>
      </c>
      <c r="FZ2" s="791"/>
      <c r="GA2" s="89"/>
      <c r="GB2" s="791" t="s">
        <v>38</v>
      </c>
      <c r="GC2" s="791"/>
      <c r="GD2" s="89"/>
      <c r="GE2" s="791" t="s">
        <v>22</v>
      </c>
      <c r="GF2" s="791"/>
      <c r="GG2" s="89"/>
      <c r="GH2" s="791" t="s">
        <v>23</v>
      </c>
      <c r="GI2" s="791"/>
      <c r="GJ2" s="89"/>
      <c r="GK2" s="791" t="s">
        <v>63</v>
      </c>
      <c r="GL2" s="791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</row>
    <row r="3" spans="1:209" ht="30" customHeight="1">
      <c r="A3" s="70"/>
      <c r="B3" s="780"/>
      <c r="C3" s="780"/>
      <c r="D3" s="70" t="s">
        <v>19</v>
      </c>
      <c r="E3" s="780"/>
      <c r="F3" s="780"/>
      <c r="G3" s="70"/>
      <c r="H3" s="780"/>
      <c r="I3" s="780"/>
      <c r="J3" s="271" t="s">
        <v>106</v>
      </c>
      <c r="K3" s="784" t="s">
        <v>105</v>
      </c>
      <c r="L3" s="785"/>
      <c r="M3" s="786"/>
      <c r="N3" s="70"/>
      <c r="O3" s="787" t="s">
        <v>106</v>
      </c>
      <c r="P3" s="788"/>
      <c r="Q3" s="789"/>
      <c r="R3" s="70"/>
      <c r="S3" s="70"/>
      <c r="T3" s="70"/>
      <c r="U3" s="70"/>
      <c r="V3" s="70"/>
      <c r="W3" s="70"/>
      <c r="X3" s="795"/>
      <c r="Y3" s="792"/>
      <c r="Z3" s="792"/>
      <c r="AA3" s="287"/>
      <c r="AB3" s="792"/>
      <c r="AC3" s="792"/>
      <c r="AD3" s="287"/>
      <c r="AE3" s="792"/>
      <c r="AF3" s="792"/>
      <c r="AG3" s="287" t="s">
        <v>19</v>
      </c>
      <c r="AH3" s="792"/>
      <c r="AI3" s="792"/>
      <c r="AJ3" s="287"/>
      <c r="AK3" s="792"/>
      <c r="AL3" s="792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795"/>
      <c r="AY3" s="792"/>
      <c r="AZ3" s="792"/>
      <c r="BA3" s="287"/>
      <c r="BB3" s="792"/>
      <c r="BC3" s="792"/>
      <c r="BD3" s="287"/>
      <c r="BE3" s="792"/>
      <c r="BF3" s="792"/>
      <c r="BG3" s="287" t="s">
        <v>19</v>
      </c>
      <c r="BH3" s="792"/>
      <c r="BI3" s="792"/>
      <c r="BJ3" s="287"/>
      <c r="BK3" s="792"/>
      <c r="BL3" s="792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795"/>
      <c r="BY3" s="792"/>
      <c r="BZ3" s="792"/>
      <c r="CA3" s="287"/>
      <c r="CB3" s="792"/>
      <c r="CC3" s="792"/>
      <c r="CD3" s="287"/>
      <c r="CE3" s="792"/>
      <c r="CF3" s="792"/>
      <c r="CG3" s="287" t="s">
        <v>19</v>
      </c>
      <c r="CH3" s="792"/>
      <c r="CI3" s="792"/>
      <c r="CJ3" s="287"/>
      <c r="CK3" s="792"/>
      <c r="CL3" s="792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795"/>
      <c r="CY3" s="792"/>
      <c r="CZ3" s="792"/>
      <c r="DA3" s="287"/>
      <c r="DB3" s="792"/>
      <c r="DC3" s="792"/>
      <c r="DD3" s="287"/>
      <c r="DE3" s="792"/>
      <c r="DF3" s="792"/>
      <c r="DG3" s="287" t="s">
        <v>19</v>
      </c>
      <c r="DH3" s="792"/>
      <c r="DI3" s="792"/>
      <c r="DJ3" s="287"/>
      <c r="DK3" s="792"/>
      <c r="DL3" s="792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795"/>
      <c r="DY3" s="792"/>
      <c r="DZ3" s="792"/>
      <c r="EA3" s="287"/>
      <c r="EB3" s="792"/>
      <c r="EC3" s="792"/>
      <c r="ED3" s="287"/>
      <c r="EE3" s="792"/>
      <c r="EF3" s="792"/>
      <c r="EG3" s="287" t="s">
        <v>19</v>
      </c>
      <c r="EH3" s="792"/>
      <c r="EI3" s="792"/>
      <c r="EJ3" s="287"/>
      <c r="EK3" s="792"/>
      <c r="EL3" s="792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795"/>
      <c r="EY3" s="792"/>
      <c r="EZ3" s="792"/>
      <c r="FA3" s="287"/>
      <c r="FB3" s="792"/>
      <c r="FC3" s="792"/>
      <c r="FD3" s="287"/>
      <c r="FE3" s="792"/>
      <c r="FF3" s="792"/>
      <c r="FG3" s="287" t="s">
        <v>19</v>
      </c>
      <c r="FH3" s="792"/>
      <c r="FI3" s="792"/>
      <c r="FJ3" s="287"/>
      <c r="FK3" s="792"/>
      <c r="FL3" s="792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795"/>
      <c r="FY3" s="792"/>
      <c r="FZ3" s="792"/>
      <c r="GA3" s="287"/>
      <c r="GB3" s="792"/>
      <c r="GC3" s="792"/>
      <c r="GD3" s="287"/>
      <c r="GE3" s="792"/>
      <c r="GF3" s="792"/>
      <c r="GG3" s="287" t="s">
        <v>19</v>
      </c>
      <c r="GH3" s="792"/>
      <c r="GI3" s="792"/>
      <c r="GJ3" s="287"/>
      <c r="GK3" s="792"/>
      <c r="GL3" s="792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</row>
    <row r="4" spans="1:209" ht="15.75">
      <c r="B4" s="326"/>
      <c r="C4" s="69"/>
      <c r="D4" s="73"/>
      <c r="E4" s="347"/>
      <c r="F4" s="348"/>
      <c r="G4" s="73"/>
      <c r="H4" s="52"/>
      <c r="I4" s="371"/>
      <c r="K4" s="798" t="s">
        <v>183</v>
      </c>
      <c r="L4" s="798"/>
      <c r="M4" s="798"/>
      <c r="N4" s="798"/>
      <c r="O4" s="798"/>
      <c r="P4" s="798"/>
      <c r="Q4" s="79" t="s">
        <v>115</v>
      </c>
      <c r="Y4" s="761" t="s">
        <v>212</v>
      </c>
      <c r="Z4" s="762">
        <v>223</v>
      </c>
      <c r="AA4" s="311"/>
      <c r="AB4" s="742" t="s">
        <v>8</v>
      </c>
      <c r="AC4" s="748">
        <v>160</v>
      </c>
      <c r="AD4" s="311"/>
      <c r="AE4" s="761" t="s">
        <v>212</v>
      </c>
      <c r="AF4" s="764">
        <v>223</v>
      </c>
      <c r="AG4" s="311"/>
      <c r="AH4" s="760" t="s">
        <v>217</v>
      </c>
      <c r="AI4" s="763">
        <v>69</v>
      </c>
      <c r="AJ4" s="311"/>
      <c r="AK4" s="760" t="s">
        <v>97</v>
      </c>
      <c r="AL4" s="765">
        <v>857</v>
      </c>
      <c r="AY4" s="323"/>
      <c r="AZ4" s="324"/>
      <c r="BA4" s="54"/>
      <c r="BB4" s="326"/>
      <c r="BC4" s="324"/>
      <c r="BD4" s="54"/>
      <c r="BE4" s="326"/>
      <c r="BF4" s="69"/>
      <c r="BG4" s="54"/>
      <c r="BH4" s="326"/>
      <c r="BI4" s="69"/>
      <c r="BJ4" s="54"/>
      <c r="BK4" s="326"/>
      <c r="BL4" s="64"/>
      <c r="BY4" s="342"/>
      <c r="BZ4" s="316"/>
      <c r="CA4" s="54"/>
      <c r="CB4" s="339"/>
      <c r="CC4" s="337"/>
      <c r="CD4" s="54"/>
      <c r="CE4" s="342"/>
      <c r="CF4" s="317"/>
      <c r="CG4" s="54"/>
      <c r="CH4" s="342"/>
      <c r="CI4" s="317"/>
      <c r="CJ4" s="54"/>
      <c r="CK4" s="342"/>
      <c r="CL4" s="336"/>
      <c r="CY4" s="326"/>
      <c r="CZ4" s="324"/>
      <c r="DA4" s="54"/>
      <c r="DB4" s="52"/>
      <c r="DC4" s="324"/>
      <c r="DD4" s="54"/>
      <c r="DE4" s="326"/>
      <c r="DF4" s="69"/>
      <c r="DG4" s="54"/>
      <c r="DH4" s="52"/>
      <c r="DI4" s="69"/>
      <c r="DJ4" s="54"/>
      <c r="DK4" s="52"/>
      <c r="DL4" s="64"/>
      <c r="DY4" s="52"/>
      <c r="DZ4" s="324"/>
      <c r="EA4" s="54"/>
      <c r="EB4" s="52"/>
      <c r="EC4" s="324"/>
      <c r="ED4" s="54"/>
      <c r="EE4" s="52"/>
      <c r="EF4" s="324"/>
      <c r="EG4" s="54"/>
      <c r="EH4" s="52"/>
      <c r="EI4" s="324"/>
      <c r="EJ4" s="54"/>
      <c r="EK4" s="52"/>
      <c r="EL4" s="64"/>
      <c r="EY4" s="326"/>
      <c r="EZ4" s="463"/>
      <c r="FA4" s="54"/>
      <c r="FB4" s="326"/>
      <c r="FC4" s="324"/>
      <c r="FD4" s="54"/>
      <c r="FE4" s="326"/>
      <c r="FF4" s="69"/>
      <c r="FG4" s="277"/>
      <c r="FH4" s="326"/>
      <c r="FI4" s="69"/>
      <c r="FJ4" s="54"/>
      <c r="FK4" s="52"/>
      <c r="FL4" s="64"/>
      <c r="FY4" s="459"/>
      <c r="FZ4" s="324"/>
      <c r="GA4" s="73"/>
      <c r="GB4" s="459"/>
      <c r="GC4" s="324"/>
      <c r="GD4" s="73"/>
      <c r="GE4" s="459"/>
      <c r="GF4" s="69"/>
      <c r="GG4" s="73"/>
      <c r="GH4" s="459"/>
      <c r="GI4" s="69"/>
      <c r="GJ4" s="73"/>
      <c r="GK4" s="459"/>
      <c r="GL4" s="64"/>
    </row>
    <row r="5" spans="1:209" ht="15.75">
      <c r="B5" s="327"/>
      <c r="C5" s="40"/>
      <c r="D5" s="73"/>
      <c r="E5" s="350"/>
      <c r="F5" s="289"/>
      <c r="G5" s="73"/>
      <c r="H5" s="352"/>
      <c r="I5" s="65"/>
      <c r="K5" s="372" t="s">
        <v>107</v>
      </c>
      <c r="L5" s="767" t="s">
        <v>6</v>
      </c>
      <c r="M5" s="767">
        <v>3891</v>
      </c>
      <c r="N5" s="75"/>
      <c r="O5" s="372" t="s">
        <v>107</v>
      </c>
      <c r="P5" s="760" t="s">
        <v>97</v>
      </c>
      <c r="Q5" s="765">
        <v>857</v>
      </c>
      <c r="S5" s="799"/>
      <c r="Y5" s="746" t="s">
        <v>112</v>
      </c>
      <c r="Z5" s="752">
        <v>217</v>
      </c>
      <c r="AA5" s="311"/>
      <c r="AB5" s="747" t="s">
        <v>207</v>
      </c>
      <c r="AC5" s="753">
        <v>154</v>
      </c>
      <c r="AD5" s="311"/>
      <c r="AE5" s="746" t="s">
        <v>112</v>
      </c>
      <c r="AF5" s="757">
        <v>217</v>
      </c>
      <c r="AG5" s="311"/>
      <c r="AH5" s="745" t="s">
        <v>216</v>
      </c>
      <c r="AI5" s="756">
        <v>77</v>
      </c>
      <c r="AJ5" s="311"/>
      <c r="AK5" s="743" t="s">
        <v>8</v>
      </c>
      <c r="AL5" s="749">
        <v>852</v>
      </c>
      <c r="AY5" s="323"/>
      <c r="AZ5" s="325"/>
      <c r="BA5" s="54"/>
      <c r="BB5" s="327"/>
      <c r="BC5" s="325"/>
      <c r="BD5" s="54"/>
      <c r="BE5" s="327"/>
      <c r="BF5" s="40"/>
      <c r="BG5" s="54"/>
      <c r="BH5" s="327"/>
      <c r="BI5" s="40"/>
      <c r="BJ5" s="54"/>
      <c r="BK5" s="327"/>
      <c r="BL5" s="66"/>
      <c r="BY5" s="342"/>
      <c r="BZ5" s="313"/>
      <c r="CA5" s="54"/>
      <c r="CB5" s="342"/>
      <c r="CC5" s="275"/>
      <c r="CD5" s="54"/>
      <c r="CE5" s="342"/>
      <c r="CF5" s="275"/>
      <c r="CG5" s="54"/>
      <c r="CH5" s="342"/>
      <c r="CI5" s="275"/>
      <c r="CJ5" s="54"/>
      <c r="CK5" s="339"/>
      <c r="CL5" s="338"/>
      <c r="CY5" s="327"/>
      <c r="CZ5" s="325"/>
      <c r="DA5" s="54"/>
      <c r="DB5" s="327"/>
      <c r="DC5" s="325"/>
      <c r="DD5" s="54"/>
      <c r="DE5" s="327"/>
      <c r="DF5" s="40"/>
      <c r="DG5" s="54"/>
      <c r="DH5" s="327"/>
      <c r="DI5" s="40"/>
      <c r="DJ5" s="54"/>
      <c r="DK5" s="327"/>
      <c r="DL5" s="66"/>
      <c r="DY5" s="51"/>
      <c r="DZ5" s="325"/>
      <c r="EA5" s="54"/>
      <c r="EB5" s="51"/>
      <c r="EC5" s="325"/>
      <c r="ED5" s="54"/>
      <c r="EE5" s="51"/>
      <c r="EF5" s="325"/>
      <c r="EG5" s="54"/>
      <c r="EH5" s="51"/>
      <c r="EI5" s="325"/>
      <c r="EJ5" s="54"/>
      <c r="EK5" s="51"/>
      <c r="EL5" s="66"/>
      <c r="EY5" s="327"/>
      <c r="EZ5" s="455"/>
      <c r="FA5" s="54"/>
      <c r="FB5" s="327"/>
      <c r="FC5" s="325"/>
      <c r="FD5" s="54"/>
      <c r="FE5" s="327"/>
      <c r="FF5" s="40"/>
      <c r="FG5" s="277"/>
      <c r="FH5" s="327"/>
      <c r="FI5" s="40"/>
      <c r="FJ5" s="54"/>
      <c r="FK5" s="51"/>
      <c r="FL5" s="66"/>
      <c r="FY5" s="457"/>
      <c r="FZ5" s="325"/>
      <c r="GA5" s="73"/>
      <c r="GB5" s="457"/>
      <c r="GC5" s="325"/>
      <c r="GD5" s="73"/>
      <c r="GE5" s="457"/>
      <c r="GF5" s="40"/>
      <c r="GG5" s="73"/>
      <c r="GH5" s="457"/>
      <c r="GI5" s="40"/>
      <c r="GJ5" s="73"/>
      <c r="GK5" s="457"/>
      <c r="GL5" s="66"/>
    </row>
    <row r="6" spans="1:209" ht="15.75">
      <c r="B6" s="329"/>
      <c r="C6" s="325"/>
      <c r="D6" s="73"/>
      <c r="E6" s="363"/>
      <c r="F6" s="365"/>
      <c r="G6" s="73"/>
      <c r="H6" s="445"/>
      <c r="I6" s="447"/>
      <c r="K6" s="74" t="s">
        <v>108</v>
      </c>
      <c r="L6" s="766" t="s">
        <v>0</v>
      </c>
      <c r="M6" s="766">
        <v>3853</v>
      </c>
      <c r="N6" s="75"/>
      <c r="O6" s="74" t="s">
        <v>108</v>
      </c>
      <c r="P6" s="743" t="s">
        <v>8</v>
      </c>
      <c r="Q6" s="749">
        <v>852</v>
      </c>
      <c r="S6" s="799"/>
      <c r="Y6" s="745" t="s">
        <v>97</v>
      </c>
      <c r="Z6" s="751">
        <v>207</v>
      </c>
      <c r="AA6" s="311"/>
      <c r="AB6" s="747" t="s">
        <v>2</v>
      </c>
      <c r="AC6" s="753">
        <v>144</v>
      </c>
      <c r="AD6" s="311"/>
      <c r="AE6" s="745" t="s">
        <v>97</v>
      </c>
      <c r="AF6" s="756">
        <v>207</v>
      </c>
      <c r="AG6" s="311"/>
      <c r="AH6" s="745" t="s">
        <v>217</v>
      </c>
      <c r="AI6" s="756">
        <v>77</v>
      </c>
      <c r="AJ6" s="311"/>
      <c r="AK6" s="745" t="s">
        <v>93</v>
      </c>
      <c r="AL6" s="759">
        <v>844</v>
      </c>
      <c r="AY6" s="323"/>
      <c r="AZ6" s="325"/>
      <c r="BA6" s="54"/>
      <c r="BB6" s="327"/>
      <c r="BC6" s="325"/>
      <c r="BD6" s="54"/>
      <c r="BE6" s="327"/>
      <c r="BF6" s="40"/>
      <c r="BG6" s="54"/>
      <c r="BH6" s="327"/>
      <c r="BI6" s="40"/>
      <c r="BJ6" s="54"/>
      <c r="BK6" s="327"/>
      <c r="BL6" s="66"/>
      <c r="BY6" s="340"/>
      <c r="BZ6" s="328"/>
      <c r="CA6" s="54"/>
      <c r="CB6" s="341"/>
      <c r="CC6" s="273"/>
      <c r="CD6" s="54"/>
      <c r="CE6" s="340"/>
      <c r="CF6" s="274"/>
      <c r="CG6" s="54"/>
      <c r="CH6" s="342"/>
      <c r="CI6" s="275"/>
      <c r="CJ6" s="54"/>
      <c r="CK6" s="340"/>
      <c r="CL6" s="276"/>
      <c r="CY6" s="327"/>
      <c r="CZ6" s="325"/>
      <c r="DA6" s="54"/>
      <c r="DB6" s="51"/>
      <c r="DC6" s="325"/>
      <c r="DD6" s="54"/>
      <c r="DE6" s="327"/>
      <c r="DF6" s="40"/>
      <c r="DG6" s="54"/>
      <c r="DH6" s="327"/>
      <c r="DI6" s="40"/>
      <c r="DJ6" s="54"/>
      <c r="DK6" s="327"/>
      <c r="DL6" s="66"/>
      <c r="DY6" s="51"/>
      <c r="DZ6" s="325"/>
      <c r="EA6" s="54"/>
      <c r="EB6" s="51"/>
      <c r="EC6" s="325"/>
      <c r="ED6" s="54"/>
      <c r="EE6" s="51"/>
      <c r="EF6" s="325"/>
      <c r="EG6" s="54"/>
      <c r="EH6" s="51"/>
      <c r="EI6" s="325"/>
      <c r="EJ6" s="54"/>
      <c r="EK6" s="51"/>
      <c r="EL6" s="66"/>
      <c r="EY6" s="327"/>
      <c r="EZ6" s="455"/>
      <c r="FA6" s="54"/>
      <c r="FB6" s="327"/>
      <c r="FC6" s="325"/>
      <c r="FD6" s="54"/>
      <c r="FE6" s="327"/>
      <c r="FF6" s="40"/>
      <c r="FG6" s="277"/>
      <c r="FH6" s="327"/>
      <c r="FI6" s="40"/>
      <c r="FJ6" s="54"/>
      <c r="FK6" s="327"/>
      <c r="FL6" s="66"/>
      <c r="FY6" s="457"/>
      <c r="FZ6" s="325"/>
      <c r="GA6" s="73"/>
      <c r="GB6" s="457"/>
      <c r="GC6" s="325"/>
      <c r="GD6" s="73"/>
      <c r="GE6" s="457"/>
      <c r="GF6" s="40"/>
      <c r="GG6" s="73"/>
      <c r="GH6" s="457"/>
      <c r="GI6" s="40"/>
      <c r="GJ6" s="73"/>
      <c r="GK6" s="457"/>
      <c r="GL6" s="66"/>
    </row>
    <row r="7" spans="1:209" ht="15.75">
      <c r="B7" s="327"/>
      <c r="C7" s="455"/>
      <c r="D7" s="73"/>
      <c r="E7" s="363"/>
      <c r="F7" s="365"/>
      <c r="G7" s="73"/>
      <c r="H7" s="400"/>
      <c r="I7" s="66"/>
      <c r="K7" s="74" t="s">
        <v>109</v>
      </c>
      <c r="L7" s="768" t="s">
        <v>5</v>
      </c>
      <c r="M7" s="768">
        <v>3835</v>
      </c>
      <c r="N7" s="75"/>
      <c r="O7" s="74" t="s">
        <v>109</v>
      </c>
      <c r="P7" s="745" t="s">
        <v>93</v>
      </c>
      <c r="Q7" s="759">
        <v>844</v>
      </c>
      <c r="S7" s="799"/>
      <c r="Y7" s="745" t="s">
        <v>93</v>
      </c>
      <c r="Z7" s="751">
        <v>202</v>
      </c>
      <c r="AA7" s="311"/>
      <c r="AB7" s="744" t="s">
        <v>212</v>
      </c>
      <c r="AC7" s="750">
        <v>139</v>
      </c>
      <c r="AD7" s="311"/>
      <c r="AE7" s="747" t="s">
        <v>144</v>
      </c>
      <c r="AF7" s="758">
        <v>202</v>
      </c>
      <c r="AG7" s="311"/>
      <c r="AH7" s="746" t="s">
        <v>170</v>
      </c>
      <c r="AI7" s="757">
        <v>87</v>
      </c>
      <c r="AJ7" s="311"/>
      <c r="AK7" s="744" t="s">
        <v>212</v>
      </c>
      <c r="AL7" s="750">
        <v>829</v>
      </c>
      <c r="AY7" s="323"/>
      <c r="AZ7" s="325"/>
      <c r="BA7" s="54"/>
      <c r="BB7" s="327"/>
      <c r="BC7" s="325"/>
      <c r="BD7" s="54"/>
      <c r="BE7" s="327"/>
      <c r="BF7" s="40"/>
      <c r="BG7" s="54"/>
      <c r="BH7" s="327"/>
      <c r="BI7" s="40"/>
      <c r="BJ7" s="54"/>
      <c r="BK7" s="327"/>
      <c r="BL7" s="66"/>
      <c r="BY7" s="458"/>
      <c r="BZ7" s="325"/>
      <c r="CA7" s="54"/>
      <c r="CB7" s="458"/>
      <c r="CC7" s="40"/>
      <c r="CD7" s="54"/>
      <c r="CE7" s="458"/>
      <c r="CF7" s="40"/>
      <c r="CG7" s="54"/>
      <c r="CH7" s="458"/>
      <c r="CI7" s="40"/>
      <c r="CJ7" s="54"/>
      <c r="CK7" s="458"/>
      <c r="CL7" s="66"/>
      <c r="CY7" s="51"/>
      <c r="CZ7" s="325"/>
      <c r="DA7" s="54"/>
      <c r="DB7" s="327"/>
      <c r="DC7" s="325"/>
      <c r="DD7" s="54"/>
      <c r="DE7" s="51"/>
      <c r="DF7" s="40"/>
      <c r="DG7" s="54"/>
      <c r="DH7" s="51"/>
      <c r="DI7" s="40"/>
      <c r="DJ7" s="54"/>
      <c r="DK7" s="51"/>
      <c r="DL7" s="66"/>
      <c r="DY7" s="51"/>
      <c r="DZ7" s="325"/>
      <c r="EA7" s="54"/>
      <c r="EB7" s="51"/>
      <c r="EC7" s="325"/>
      <c r="ED7" s="54"/>
      <c r="EE7" s="51"/>
      <c r="EF7" s="325"/>
      <c r="EG7" s="54"/>
      <c r="EH7" s="51"/>
      <c r="EI7" s="325"/>
      <c r="EJ7" s="54"/>
      <c r="EK7" s="51"/>
      <c r="EL7" s="66"/>
      <c r="EY7" s="51"/>
      <c r="EZ7" s="455"/>
      <c r="FA7" s="54"/>
      <c r="FB7" s="327"/>
      <c r="FC7" s="325"/>
      <c r="FD7" s="54"/>
      <c r="FE7" s="51"/>
      <c r="FF7" s="40"/>
      <c r="FG7" s="277"/>
      <c r="FH7" s="327"/>
      <c r="FI7" s="40"/>
      <c r="FJ7" s="54"/>
      <c r="FK7" s="327"/>
      <c r="FL7" s="66"/>
      <c r="FY7" s="457"/>
      <c r="FZ7" s="325"/>
      <c r="GA7" s="73"/>
      <c r="GB7" s="457"/>
      <c r="GC7" s="325"/>
      <c r="GD7" s="73"/>
      <c r="GE7" s="457"/>
      <c r="GF7" s="40"/>
      <c r="GG7" s="73"/>
      <c r="GH7" s="457"/>
      <c r="GI7" s="40"/>
      <c r="GJ7" s="73"/>
      <c r="GK7" s="457"/>
      <c r="GL7" s="66"/>
    </row>
    <row r="8" spans="1:209" ht="15.75">
      <c r="B8" s="51"/>
      <c r="C8" s="325"/>
      <c r="D8" s="73"/>
      <c r="E8" s="352"/>
      <c r="F8" s="289"/>
      <c r="G8" s="73"/>
      <c r="H8" s="349"/>
      <c r="I8" s="351"/>
      <c r="K8" s="797" t="s">
        <v>197</v>
      </c>
      <c r="L8" s="797"/>
      <c r="M8" s="797"/>
      <c r="N8" s="797"/>
      <c r="O8" s="797"/>
      <c r="P8" s="797"/>
      <c r="Q8" s="79" t="s">
        <v>115</v>
      </c>
      <c r="Y8" s="747" t="s">
        <v>144</v>
      </c>
      <c r="Z8" s="753">
        <v>202</v>
      </c>
      <c r="AA8" s="311"/>
      <c r="AB8" s="746" t="s">
        <v>65</v>
      </c>
      <c r="AC8" s="752">
        <v>139</v>
      </c>
      <c r="AD8" s="311"/>
      <c r="AE8" s="745" t="s">
        <v>93</v>
      </c>
      <c r="AF8" s="756">
        <v>202</v>
      </c>
      <c r="AG8" s="311"/>
      <c r="AH8" s="745" t="s">
        <v>217</v>
      </c>
      <c r="AI8" s="756">
        <v>89</v>
      </c>
      <c r="AJ8" s="311"/>
      <c r="AK8" s="747" t="s">
        <v>207</v>
      </c>
      <c r="AL8" s="753">
        <v>827</v>
      </c>
      <c r="AY8" s="323"/>
      <c r="AZ8" s="325"/>
      <c r="BA8" s="54"/>
      <c r="BB8" s="327"/>
      <c r="BC8" s="325"/>
      <c r="BD8" s="54"/>
      <c r="BE8" s="327"/>
      <c r="BF8" s="40"/>
      <c r="BG8" s="54"/>
      <c r="BH8" s="327"/>
      <c r="BI8" s="40"/>
      <c r="BJ8" s="54"/>
      <c r="BK8" s="327"/>
      <c r="BL8" s="66"/>
      <c r="BY8" s="458"/>
      <c r="BZ8" s="325"/>
      <c r="CA8" s="54"/>
      <c r="CB8" s="458"/>
      <c r="CC8" s="40"/>
      <c r="CD8" s="54"/>
      <c r="CE8" s="458"/>
      <c r="CF8" s="40"/>
      <c r="CG8" s="54"/>
      <c r="CH8" s="458"/>
      <c r="CI8" s="40"/>
      <c r="CJ8" s="54"/>
      <c r="CK8" s="458"/>
      <c r="CL8" s="66"/>
      <c r="CY8" s="51"/>
      <c r="CZ8" s="325"/>
      <c r="DA8" s="54"/>
      <c r="DB8" s="327"/>
      <c r="DC8" s="325"/>
      <c r="DD8" s="54"/>
      <c r="DE8" s="51"/>
      <c r="DF8" s="40"/>
      <c r="DG8" s="54"/>
      <c r="DH8" s="51"/>
      <c r="DI8" s="40"/>
      <c r="DJ8" s="54"/>
      <c r="DK8" s="327"/>
      <c r="DL8" s="66"/>
      <c r="DY8" s="51"/>
      <c r="DZ8" s="325"/>
      <c r="EA8" s="54"/>
      <c r="EB8" s="51"/>
      <c r="EC8" s="325"/>
      <c r="ED8" s="54"/>
      <c r="EE8" s="51"/>
      <c r="EF8" s="325"/>
      <c r="EG8" s="54"/>
      <c r="EH8" s="51"/>
      <c r="EI8" s="325"/>
      <c r="EJ8" s="54"/>
      <c r="EK8" s="51"/>
      <c r="EL8" s="66"/>
      <c r="EY8" s="51"/>
      <c r="EZ8" s="455"/>
      <c r="FA8" s="54"/>
      <c r="FB8" s="327"/>
      <c r="FC8" s="325"/>
      <c r="FD8" s="54"/>
      <c r="FE8" s="51"/>
      <c r="FF8" s="40"/>
      <c r="FG8" s="277"/>
      <c r="FH8" s="327"/>
      <c r="FI8" s="40"/>
      <c r="FJ8" s="54"/>
      <c r="FK8" s="51"/>
      <c r="FL8" s="66"/>
      <c r="FY8" s="457"/>
      <c r="FZ8" s="325"/>
      <c r="GA8" s="73"/>
      <c r="GB8" s="457"/>
      <c r="GC8" s="325"/>
      <c r="GD8" s="73"/>
      <c r="GE8" s="457"/>
      <c r="GF8" s="40"/>
      <c r="GG8" s="73"/>
      <c r="GH8" s="457"/>
      <c r="GI8" s="40"/>
      <c r="GJ8" s="73"/>
      <c r="GK8" s="457"/>
      <c r="GL8" s="66"/>
    </row>
    <row r="9" spans="1:209" ht="15.75">
      <c r="B9" s="456"/>
      <c r="C9" s="40"/>
      <c r="D9" s="73"/>
      <c r="E9" s="350"/>
      <c r="F9" s="289"/>
      <c r="G9" s="73"/>
      <c r="H9" s="51"/>
      <c r="I9" s="66"/>
      <c r="K9" s="74" t="s">
        <v>107</v>
      </c>
      <c r="L9" s="100"/>
      <c r="M9" s="100"/>
      <c r="N9" s="75"/>
      <c r="O9" s="74" t="s">
        <v>107</v>
      </c>
      <c r="P9" s="326"/>
      <c r="Q9" s="64"/>
      <c r="Y9" s="747" t="s">
        <v>2</v>
      </c>
      <c r="Z9" s="753">
        <v>199</v>
      </c>
      <c r="AA9" s="311"/>
      <c r="AB9" s="744" t="s">
        <v>1</v>
      </c>
      <c r="AC9" s="750">
        <v>138</v>
      </c>
      <c r="AD9" s="311"/>
      <c r="AE9" s="747" t="s">
        <v>2</v>
      </c>
      <c r="AF9" s="758">
        <v>199</v>
      </c>
      <c r="AG9" s="311"/>
      <c r="AH9" s="745" t="s">
        <v>217</v>
      </c>
      <c r="AI9" s="756">
        <v>90</v>
      </c>
      <c r="AJ9" s="311"/>
      <c r="AK9" s="746" t="s">
        <v>112</v>
      </c>
      <c r="AL9" s="752">
        <v>826</v>
      </c>
      <c r="AY9" s="323"/>
      <c r="AZ9" s="325"/>
      <c r="BA9" s="54"/>
      <c r="BB9" s="327"/>
      <c r="BC9" s="325"/>
      <c r="BD9" s="54"/>
      <c r="BE9" s="327"/>
      <c r="BF9" s="40"/>
      <c r="BG9" s="54"/>
      <c r="BH9" s="327"/>
      <c r="BI9" s="40"/>
      <c r="BJ9" s="54"/>
      <c r="BK9" s="327"/>
      <c r="BL9" s="66"/>
      <c r="BY9" s="458"/>
      <c r="BZ9" s="325"/>
      <c r="CA9" s="54"/>
      <c r="CB9" s="458"/>
      <c r="CC9" s="40"/>
      <c r="CD9" s="54"/>
      <c r="CE9" s="458"/>
      <c r="CF9" s="40"/>
      <c r="CG9" s="54"/>
      <c r="CH9" s="458"/>
      <c r="CI9" s="40"/>
      <c r="CJ9" s="54"/>
      <c r="CK9" s="458"/>
      <c r="CL9" s="66"/>
      <c r="CY9" s="327"/>
      <c r="CZ9" s="325"/>
      <c r="DA9" s="54"/>
      <c r="DB9" s="51"/>
      <c r="DC9" s="325"/>
      <c r="DD9" s="54"/>
      <c r="DE9" s="51"/>
      <c r="DF9" s="40"/>
      <c r="DG9" s="54"/>
      <c r="DH9" s="327"/>
      <c r="DI9" s="40"/>
      <c r="DJ9" s="54"/>
      <c r="DK9" s="51"/>
      <c r="DL9" s="66"/>
      <c r="DY9" s="51"/>
      <c r="DZ9" s="325"/>
      <c r="EA9" s="54"/>
      <c r="EB9" s="51"/>
      <c r="EC9" s="325"/>
      <c r="ED9" s="54"/>
      <c r="EE9" s="51"/>
      <c r="EF9" s="325"/>
      <c r="EG9" s="54"/>
      <c r="EH9" s="51"/>
      <c r="EI9" s="325"/>
      <c r="EJ9" s="54"/>
      <c r="EK9" s="51"/>
      <c r="EL9" s="66"/>
      <c r="EY9" s="51"/>
      <c r="EZ9" s="455"/>
      <c r="FA9" s="54"/>
      <c r="FB9" s="51"/>
      <c r="FC9" s="325"/>
      <c r="FD9" s="54"/>
      <c r="FE9" s="51"/>
      <c r="FF9" s="40"/>
      <c r="FG9" s="277"/>
      <c r="FH9" s="327"/>
      <c r="FI9" s="40"/>
      <c r="FJ9" s="54"/>
      <c r="FK9" s="327"/>
      <c r="FL9" s="66"/>
      <c r="FY9" s="457"/>
      <c r="FZ9" s="325"/>
      <c r="GA9" s="73"/>
      <c r="GB9" s="457"/>
      <c r="GC9" s="325"/>
      <c r="GD9" s="73"/>
      <c r="GE9" s="457"/>
      <c r="GF9" s="40"/>
      <c r="GG9" s="73"/>
      <c r="GH9" s="457"/>
      <c r="GI9" s="40"/>
      <c r="GJ9" s="73"/>
      <c r="GK9" s="457"/>
      <c r="GL9" s="66"/>
    </row>
    <row r="10" spans="1:209" ht="15.75">
      <c r="B10" s="327"/>
      <c r="C10" s="455"/>
      <c r="D10" s="73"/>
      <c r="E10" s="352"/>
      <c r="F10" s="289"/>
      <c r="G10" s="73"/>
      <c r="H10" s="443"/>
      <c r="I10" s="66"/>
      <c r="K10" s="74" t="s">
        <v>108</v>
      </c>
      <c r="L10" s="100"/>
      <c r="M10" s="100"/>
      <c r="N10" s="75"/>
      <c r="O10" s="74" t="s">
        <v>108</v>
      </c>
      <c r="P10" s="327"/>
      <c r="Q10" s="66"/>
      <c r="Y10" s="747" t="s">
        <v>205</v>
      </c>
      <c r="Z10" s="753">
        <v>194</v>
      </c>
      <c r="AA10" s="311"/>
      <c r="AB10" s="745" t="s">
        <v>215</v>
      </c>
      <c r="AC10" s="751">
        <v>137</v>
      </c>
      <c r="AD10" s="311"/>
      <c r="AE10" s="747" t="s">
        <v>205</v>
      </c>
      <c r="AF10" s="758">
        <v>194</v>
      </c>
      <c r="AG10" s="311"/>
      <c r="AH10" s="746" t="s">
        <v>170</v>
      </c>
      <c r="AI10" s="757">
        <v>90</v>
      </c>
      <c r="AJ10" s="311"/>
      <c r="AK10" s="744" t="s">
        <v>1</v>
      </c>
      <c r="AL10" s="750">
        <v>812</v>
      </c>
      <c r="AY10" s="323"/>
      <c r="AZ10" s="325"/>
      <c r="BA10" s="54"/>
      <c r="BB10" s="327"/>
      <c r="BC10" s="325"/>
      <c r="BD10" s="54"/>
      <c r="BE10" s="327"/>
      <c r="BF10" s="40"/>
      <c r="BG10" s="54"/>
      <c r="BH10" s="327"/>
      <c r="BI10" s="40"/>
      <c r="BJ10" s="54"/>
      <c r="BK10" s="327"/>
      <c r="BL10" s="66"/>
      <c r="BY10" s="458"/>
      <c r="BZ10" s="325"/>
      <c r="CA10" s="54"/>
      <c r="CB10" s="458"/>
      <c r="CC10" s="40"/>
      <c r="CD10" s="54"/>
      <c r="CE10" s="458"/>
      <c r="CF10" s="40"/>
      <c r="CG10" s="54"/>
      <c r="CH10" s="458"/>
      <c r="CI10" s="40"/>
      <c r="CJ10" s="54"/>
      <c r="CK10" s="458"/>
      <c r="CL10" s="66"/>
      <c r="CY10" s="327"/>
      <c r="CZ10" s="325"/>
      <c r="DA10" s="54"/>
      <c r="DB10" s="327"/>
      <c r="DC10" s="325"/>
      <c r="DD10" s="54"/>
      <c r="DE10" s="327"/>
      <c r="DF10" s="40"/>
      <c r="DG10" s="54"/>
      <c r="DH10" s="327"/>
      <c r="DI10" s="40"/>
      <c r="DJ10" s="54"/>
      <c r="DK10" s="327"/>
      <c r="DL10" s="66"/>
      <c r="DY10" s="51"/>
      <c r="DZ10" s="325"/>
      <c r="EA10" s="54"/>
      <c r="EB10" s="51"/>
      <c r="EC10" s="325"/>
      <c r="ED10" s="54"/>
      <c r="EE10" s="51"/>
      <c r="EF10" s="325"/>
      <c r="EG10" s="54"/>
      <c r="EH10" s="51"/>
      <c r="EI10" s="325"/>
      <c r="EJ10" s="54"/>
      <c r="EK10" s="51"/>
      <c r="EL10" s="66"/>
      <c r="EY10" s="327"/>
      <c r="EZ10" s="455"/>
      <c r="FA10" s="54"/>
      <c r="FB10" s="327"/>
      <c r="FC10" s="325"/>
      <c r="FD10" s="54"/>
      <c r="FE10" s="51"/>
      <c r="FF10" s="40"/>
      <c r="FG10" s="277"/>
      <c r="FH10" s="327"/>
      <c r="FI10" s="40"/>
      <c r="FJ10" s="54"/>
      <c r="FK10" s="51"/>
      <c r="FL10" s="66"/>
      <c r="FY10" s="457"/>
      <c r="FZ10" s="325"/>
      <c r="GA10" s="73"/>
      <c r="GB10" s="457"/>
      <c r="GC10" s="325"/>
      <c r="GD10" s="73"/>
      <c r="GE10" s="457"/>
      <c r="GF10" s="40"/>
      <c r="GG10" s="73"/>
      <c r="GH10" s="457"/>
      <c r="GI10" s="40"/>
      <c r="GJ10" s="73"/>
      <c r="GK10" s="457"/>
      <c r="GL10" s="66"/>
    </row>
    <row r="11" spans="1:209" ht="15.75">
      <c r="B11" s="327"/>
      <c r="C11" s="455"/>
      <c r="D11" s="73"/>
      <c r="E11" s="355"/>
      <c r="F11" s="289"/>
      <c r="G11" s="73"/>
      <c r="H11" s="353"/>
      <c r="I11" s="67"/>
      <c r="K11" s="74" t="s">
        <v>109</v>
      </c>
      <c r="L11" s="100"/>
      <c r="M11" s="100"/>
      <c r="N11" s="75"/>
      <c r="O11" s="74" t="s">
        <v>109</v>
      </c>
      <c r="P11" s="327"/>
      <c r="Q11" s="66"/>
      <c r="Y11" s="743" t="s">
        <v>8</v>
      </c>
      <c r="Z11" s="749">
        <v>192</v>
      </c>
      <c r="AA11" s="311"/>
      <c r="AB11" s="745" t="s">
        <v>93</v>
      </c>
      <c r="AC11" s="751">
        <v>135</v>
      </c>
      <c r="AD11" s="311"/>
      <c r="AE11" s="743" t="s">
        <v>8</v>
      </c>
      <c r="AF11" s="754">
        <v>192</v>
      </c>
      <c r="AG11" s="311"/>
      <c r="AH11" s="745" t="s">
        <v>59</v>
      </c>
      <c r="AI11" s="756">
        <v>91</v>
      </c>
      <c r="AJ11" s="311"/>
      <c r="AK11" s="747" t="s">
        <v>156</v>
      </c>
      <c r="AL11" s="753">
        <v>799</v>
      </c>
      <c r="AY11" s="323"/>
      <c r="AZ11" s="325"/>
      <c r="BA11" s="54"/>
      <c r="BB11" s="327"/>
      <c r="BC11" s="325"/>
      <c r="BD11" s="54"/>
      <c r="BE11" s="327"/>
      <c r="BF11" s="40"/>
      <c r="BG11" s="54"/>
      <c r="BH11" s="327"/>
      <c r="BI11" s="40"/>
      <c r="BJ11" s="54"/>
      <c r="BK11" s="327"/>
      <c r="BL11" s="66"/>
      <c r="BY11" s="458"/>
      <c r="BZ11" s="325"/>
      <c r="CA11" s="54"/>
      <c r="CB11" s="458"/>
      <c r="CC11" s="40"/>
      <c r="CD11" s="54"/>
      <c r="CE11" s="458"/>
      <c r="CF11" s="40"/>
      <c r="CG11" s="54"/>
      <c r="CH11" s="458"/>
      <c r="CI11" s="40"/>
      <c r="CJ11" s="54"/>
      <c r="CK11" s="458"/>
      <c r="CL11" s="66"/>
      <c r="CY11" s="51"/>
      <c r="CZ11" s="325"/>
      <c r="DA11" s="54"/>
      <c r="DB11" s="327"/>
      <c r="DC11" s="325"/>
      <c r="DD11" s="54"/>
      <c r="DE11" s="327"/>
      <c r="DF11" s="40"/>
      <c r="DG11" s="54"/>
      <c r="DH11" s="51"/>
      <c r="DI11" s="40"/>
      <c r="DJ11" s="54"/>
      <c r="DK11" s="51"/>
      <c r="DL11" s="66"/>
      <c r="DY11" s="51"/>
      <c r="DZ11" s="325"/>
      <c r="EA11" s="54"/>
      <c r="EB11" s="51"/>
      <c r="EC11" s="325"/>
      <c r="ED11" s="54"/>
      <c r="EE11" s="51"/>
      <c r="EF11" s="325"/>
      <c r="EG11" s="54"/>
      <c r="EH11" s="51"/>
      <c r="EI11" s="325"/>
      <c r="EJ11" s="54"/>
      <c r="EK11" s="51"/>
      <c r="EL11" s="66"/>
      <c r="EY11" s="327"/>
      <c r="EZ11" s="455"/>
      <c r="FA11" s="54"/>
      <c r="FB11" s="51"/>
      <c r="FC11" s="325"/>
      <c r="FD11" s="54"/>
      <c r="FE11" s="327"/>
      <c r="FF11" s="40"/>
      <c r="FG11" s="277"/>
      <c r="FH11" s="327"/>
      <c r="FI11" s="40"/>
      <c r="FJ11" s="54"/>
      <c r="FK11" s="327"/>
      <c r="FL11" s="66"/>
      <c r="FY11" s="457"/>
      <c r="FZ11" s="325"/>
      <c r="GA11" s="73"/>
      <c r="GB11" s="457"/>
      <c r="GC11" s="325"/>
      <c r="GD11" s="73"/>
      <c r="GE11" s="457"/>
      <c r="GF11" s="40"/>
      <c r="GG11" s="73"/>
      <c r="GH11" s="457"/>
      <c r="GI11" s="40"/>
      <c r="GJ11" s="73"/>
      <c r="GK11" s="457"/>
      <c r="GL11" s="66"/>
    </row>
    <row r="12" spans="1:209" ht="15.75">
      <c r="B12" s="51"/>
      <c r="C12" s="455"/>
      <c r="D12" s="73"/>
      <c r="E12" s="363"/>
      <c r="F12" s="365"/>
      <c r="G12" s="73"/>
      <c r="H12" s="400"/>
      <c r="I12" s="66"/>
      <c r="K12" s="796" t="s">
        <v>200</v>
      </c>
      <c r="L12" s="796"/>
      <c r="M12" s="796"/>
      <c r="N12" s="796"/>
      <c r="O12" s="796"/>
      <c r="P12" s="796"/>
      <c r="Q12" s="79" t="s">
        <v>115</v>
      </c>
      <c r="Y12" s="744" t="s">
        <v>94</v>
      </c>
      <c r="Z12" s="750">
        <v>190</v>
      </c>
      <c r="AA12" s="311"/>
      <c r="AB12" s="745" t="s">
        <v>97</v>
      </c>
      <c r="AC12" s="751">
        <v>133</v>
      </c>
      <c r="AD12" s="311"/>
      <c r="AE12" s="744" t="s">
        <v>94</v>
      </c>
      <c r="AF12" s="755">
        <v>190</v>
      </c>
      <c r="AG12" s="311"/>
      <c r="AH12" s="746" t="s">
        <v>29</v>
      </c>
      <c r="AI12" s="757">
        <v>91</v>
      </c>
      <c r="AJ12" s="311"/>
      <c r="AK12" s="747" t="s">
        <v>2</v>
      </c>
      <c r="AL12" s="753">
        <v>791</v>
      </c>
      <c r="AY12" s="323"/>
      <c r="AZ12" s="325"/>
      <c r="BA12" s="54"/>
      <c r="BB12" s="327"/>
      <c r="BC12" s="325"/>
      <c r="BD12" s="54"/>
      <c r="BE12" s="327"/>
      <c r="BF12" s="40"/>
      <c r="BG12" s="54"/>
      <c r="BH12" s="327"/>
      <c r="BI12" s="40"/>
      <c r="BJ12" s="54"/>
      <c r="BK12" s="327"/>
      <c r="BL12" s="66"/>
      <c r="BY12" s="458"/>
      <c r="BZ12" s="325"/>
      <c r="CA12" s="54"/>
      <c r="CB12" s="458"/>
      <c r="CC12" s="40"/>
      <c r="CD12" s="54"/>
      <c r="CE12" s="458"/>
      <c r="CF12" s="40"/>
      <c r="CG12" s="54"/>
      <c r="CH12" s="458"/>
      <c r="CI12" s="40"/>
      <c r="CJ12" s="54"/>
      <c r="CK12" s="458"/>
      <c r="CL12" s="66"/>
      <c r="CY12" s="327"/>
      <c r="CZ12" s="325"/>
      <c r="DA12" s="54"/>
      <c r="DB12" s="51"/>
      <c r="DC12" s="325"/>
      <c r="DD12" s="54"/>
      <c r="DE12" s="51"/>
      <c r="DF12" s="40"/>
      <c r="DG12" s="54"/>
      <c r="DH12" s="327"/>
      <c r="DI12" s="40"/>
      <c r="DJ12" s="54"/>
      <c r="DK12" s="51"/>
      <c r="DL12" s="66"/>
      <c r="DY12" s="51"/>
      <c r="DZ12" s="325"/>
      <c r="EA12" s="54"/>
      <c r="EB12" s="51"/>
      <c r="EC12" s="325"/>
      <c r="ED12" s="54"/>
      <c r="EE12" s="51"/>
      <c r="EF12" s="325"/>
      <c r="EG12" s="54"/>
      <c r="EH12" s="51"/>
      <c r="EI12" s="325"/>
      <c r="EJ12" s="54"/>
      <c r="EK12" s="51"/>
      <c r="EL12" s="66"/>
      <c r="EY12" s="51"/>
      <c r="EZ12" s="455"/>
      <c r="FA12" s="54"/>
      <c r="FB12" s="51"/>
      <c r="FC12" s="325"/>
      <c r="FD12" s="54"/>
      <c r="FE12" s="327"/>
      <c r="FF12" s="40"/>
      <c r="FG12" s="277"/>
      <c r="FH12" s="51"/>
      <c r="FI12" s="40"/>
      <c r="FJ12" s="54"/>
      <c r="FK12" s="51"/>
      <c r="FL12" s="66"/>
      <c r="FY12" s="457"/>
      <c r="FZ12" s="325"/>
      <c r="GA12" s="73"/>
      <c r="GB12" s="457"/>
      <c r="GC12" s="325"/>
      <c r="GD12" s="73"/>
      <c r="GE12" s="457"/>
      <c r="GF12" s="40"/>
      <c r="GG12" s="73"/>
      <c r="GH12" s="457"/>
      <c r="GI12" s="40"/>
      <c r="GJ12" s="73"/>
      <c r="GK12" s="457"/>
      <c r="GL12" s="66"/>
    </row>
    <row r="13" spans="1:209" ht="15.75">
      <c r="B13" s="327"/>
      <c r="C13" s="40"/>
      <c r="D13" s="73"/>
      <c r="E13" s="350"/>
      <c r="F13" s="289"/>
      <c r="G13" s="73"/>
      <c r="H13" s="354"/>
      <c r="I13" s="346"/>
      <c r="K13" s="74" t="s">
        <v>107</v>
      </c>
      <c r="L13" s="100"/>
      <c r="M13" s="100"/>
      <c r="N13" s="75"/>
      <c r="O13" s="74" t="s">
        <v>107</v>
      </c>
      <c r="P13" s="458"/>
      <c r="Q13" s="64"/>
      <c r="Y13" s="745" t="s">
        <v>59</v>
      </c>
      <c r="Z13" s="751">
        <v>190</v>
      </c>
      <c r="AA13" s="312"/>
      <c r="AB13" s="743" t="s">
        <v>69</v>
      </c>
      <c r="AC13" s="749">
        <v>132</v>
      </c>
      <c r="AD13" s="312"/>
      <c r="AE13" s="745" t="s">
        <v>59</v>
      </c>
      <c r="AF13" s="756">
        <v>190</v>
      </c>
      <c r="AG13" s="312"/>
      <c r="AH13" s="746" t="s">
        <v>170</v>
      </c>
      <c r="AI13" s="757">
        <v>93</v>
      </c>
      <c r="AJ13" s="312"/>
      <c r="AK13" s="746" t="s">
        <v>218</v>
      </c>
      <c r="AL13" s="752">
        <v>776</v>
      </c>
      <c r="AY13" s="323"/>
      <c r="AZ13" s="325"/>
      <c r="BA13" s="55"/>
      <c r="BB13" s="327"/>
      <c r="BC13" s="325"/>
      <c r="BD13" s="55"/>
      <c r="BE13" s="327"/>
      <c r="BF13" s="40"/>
      <c r="BG13" s="55"/>
      <c r="BH13" s="327"/>
      <c r="BI13" s="40"/>
      <c r="BJ13" s="55"/>
      <c r="BK13" s="327"/>
      <c r="BL13" s="66"/>
      <c r="BY13" s="458"/>
      <c r="BZ13" s="325"/>
      <c r="CA13" s="55"/>
      <c r="CB13" s="458"/>
      <c r="CC13" s="40"/>
      <c r="CD13" s="290"/>
      <c r="CE13" s="458"/>
      <c r="CF13" s="40"/>
      <c r="CG13" s="55"/>
      <c r="CH13" s="458"/>
      <c r="CI13" s="40"/>
      <c r="CJ13" s="55"/>
      <c r="CK13" s="458"/>
      <c r="CL13" s="66"/>
      <c r="CY13" s="51"/>
      <c r="CZ13" s="325"/>
      <c r="DA13" s="290"/>
      <c r="DB13" s="51"/>
      <c r="DC13" s="325"/>
      <c r="DD13" s="290"/>
      <c r="DE13" s="327"/>
      <c r="DF13" s="40"/>
      <c r="DG13" s="290"/>
      <c r="DH13" s="51"/>
      <c r="DI13" s="40"/>
      <c r="DJ13" s="290"/>
      <c r="DK13" s="327"/>
      <c r="DL13" s="66"/>
      <c r="DY13" s="51"/>
      <c r="DZ13" s="325"/>
      <c r="EA13" s="290"/>
      <c r="EB13" s="51"/>
      <c r="EC13" s="325"/>
      <c r="ED13" s="290"/>
      <c r="EE13" s="51"/>
      <c r="EF13" s="325"/>
      <c r="EG13" s="290"/>
      <c r="EH13" s="51"/>
      <c r="EI13" s="325"/>
      <c r="EJ13" s="290"/>
      <c r="EK13" s="51"/>
      <c r="EL13" s="66"/>
      <c r="EY13" s="327"/>
      <c r="EZ13" s="455"/>
      <c r="FA13" s="55"/>
      <c r="FB13" s="51"/>
      <c r="FC13" s="325"/>
      <c r="FD13" s="55"/>
      <c r="FE13" s="51"/>
      <c r="FF13" s="40"/>
      <c r="FG13" s="278"/>
      <c r="FH13" s="327"/>
      <c r="FI13" s="40"/>
      <c r="FJ13" s="55"/>
      <c r="FK13" s="327"/>
      <c r="FL13" s="66"/>
      <c r="FY13" s="457"/>
      <c r="FZ13" s="325"/>
      <c r="GA13" s="464"/>
      <c r="GB13" s="457"/>
      <c r="GC13" s="325"/>
      <c r="GD13" s="464"/>
      <c r="GE13" s="457"/>
      <c r="GF13" s="40"/>
      <c r="GG13" s="464"/>
      <c r="GH13" s="457"/>
      <c r="GI13" s="40"/>
      <c r="GJ13" s="464"/>
      <c r="GK13" s="457"/>
      <c r="GL13" s="66"/>
    </row>
    <row r="14" spans="1:209" ht="15.75">
      <c r="B14" s="327"/>
      <c r="C14" s="40"/>
      <c r="D14" s="73"/>
      <c r="E14" s="352"/>
      <c r="F14" s="289"/>
      <c r="G14" s="73"/>
      <c r="H14" s="399"/>
      <c r="I14" s="367"/>
      <c r="K14" s="74" t="s">
        <v>108</v>
      </c>
      <c r="L14" s="100"/>
      <c r="M14" s="100"/>
      <c r="N14" s="75"/>
      <c r="O14" s="74" t="s">
        <v>108</v>
      </c>
      <c r="P14" s="458"/>
      <c r="Q14" s="66"/>
      <c r="Y14" s="747" t="s">
        <v>156</v>
      </c>
      <c r="Z14" s="753">
        <v>187</v>
      </c>
      <c r="AA14" s="311"/>
      <c r="AB14" s="746" t="s">
        <v>218</v>
      </c>
      <c r="AC14" s="752">
        <v>129</v>
      </c>
      <c r="AD14" s="311"/>
      <c r="AE14" s="745" t="s">
        <v>93</v>
      </c>
      <c r="AF14" s="756">
        <v>188</v>
      </c>
      <c r="AG14" s="311"/>
      <c r="AH14" s="746" t="s">
        <v>219</v>
      </c>
      <c r="AI14" s="757">
        <v>94</v>
      </c>
      <c r="AJ14" s="311"/>
      <c r="AK14" s="747" t="s">
        <v>144</v>
      </c>
      <c r="AL14" s="753">
        <v>772</v>
      </c>
      <c r="AY14" s="323"/>
      <c r="AZ14" s="325"/>
      <c r="BA14" s="54"/>
      <c r="BB14" s="327"/>
      <c r="BC14" s="325"/>
      <c r="BD14" s="54"/>
      <c r="BE14" s="327"/>
      <c r="BF14" s="40"/>
      <c r="BG14" s="54"/>
      <c r="BH14" s="327"/>
      <c r="BI14" s="40"/>
      <c r="BJ14" s="54"/>
      <c r="BK14" s="327"/>
      <c r="BL14" s="66"/>
      <c r="BY14" s="458"/>
      <c r="BZ14" s="325"/>
      <c r="CA14" s="54"/>
      <c r="CB14" s="458"/>
      <c r="CC14" s="40"/>
      <c r="CD14" s="54"/>
      <c r="CE14" s="458"/>
      <c r="CF14" s="40"/>
      <c r="CG14" s="54"/>
      <c r="CH14" s="458"/>
      <c r="CI14" s="40"/>
      <c r="CJ14" s="54"/>
      <c r="CK14" s="458"/>
      <c r="CL14" s="66"/>
      <c r="CY14" s="327"/>
      <c r="CZ14" s="325"/>
      <c r="DA14" s="54"/>
      <c r="DB14" s="327"/>
      <c r="DC14" s="325"/>
      <c r="DD14" s="54"/>
      <c r="DE14" s="51"/>
      <c r="DF14" s="40"/>
      <c r="DG14" s="54"/>
      <c r="DH14" s="51"/>
      <c r="DI14" s="40"/>
      <c r="DJ14" s="54"/>
      <c r="DK14" s="51"/>
      <c r="DL14" s="66"/>
      <c r="DY14" s="51"/>
      <c r="DZ14" s="325"/>
      <c r="EA14" s="54"/>
      <c r="EB14" s="51"/>
      <c r="EC14" s="325"/>
      <c r="ED14" s="54"/>
      <c r="EE14" s="51"/>
      <c r="EF14" s="325"/>
      <c r="EG14" s="54"/>
      <c r="EH14" s="51"/>
      <c r="EI14" s="325"/>
      <c r="EJ14" s="54"/>
      <c r="EK14" s="51"/>
      <c r="EL14" s="66"/>
      <c r="EY14" s="327"/>
      <c r="EZ14" s="455"/>
      <c r="FA14" s="54"/>
      <c r="FB14" s="51"/>
      <c r="FC14" s="325"/>
      <c r="FD14" s="54"/>
      <c r="FE14" s="327"/>
      <c r="FF14" s="40"/>
      <c r="FG14" s="277"/>
      <c r="FH14" s="51"/>
      <c r="FI14" s="40"/>
      <c r="FJ14" s="54"/>
      <c r="FK14" s="327"/>
      <c r="FL14" s="66"/>
      <c r="FY14" s="457"/>
      <c r="FZ14" s="325"/>
      <c r="GA14" s="73"/>
      <c r="GB14" s="457"/>
      <c r="GC14" s="325"/>
      <c r="GD14" s="73"/>
      <c r="GE14" s="457"/>
      <c r="GF14" s="40"/>
      <c r="GG14" s="465"/>
      <c r="GH14" s="457"/>
      <c r="GI14" s="40"/>
      <c r="GJ14" s="465"/>
      <c r="GK14" s="457"/>
      <c r="GL14" s="66"/>
    </row>
    <row r="15" spans="1:209" ht="15.75">
      <c r="B15" s="51"/>
      <c r="C15" s="325"/>
      <c r="D15" s="73"/>
      <c r="E15" s="377"/>
      <c r="F15" s="288"/>
      <c r="G15" s="73"/>
      <c r="H15" s="398"/>
      <c r="I15" s="370"/>
      <c r="K15" s="74" t="s">
        <v>109</v>
      </c>
      <c r="L15" s="100"/>
      <c r="M15" s="100"/>
      <c r="N15" s="75"/>
      <c r="O15" s="74" t="s">
        <v>109</v>
      </c>
      <c r="P15" s="458"/>
      <c r="Q15" s="66"/>
      <c r="Y15" s="744" t="s">
        <v>1</v>
      </c>
      <c r="Z15" s="750">
        <v>186</v>
      </c>
      <c r="AA15" s="311"/>
      <c r="AB15" s="747" t="s">
        <v>205</v>
      </c>
      <c r="AC15" s="753">
        <v>129</v>
      </c>
      <c r="AD15" s="311"/>
      <c r="AE15" s="747" t="s">
        <v>156</v>
      </c>
      <c r="AF15" s="758">
        <v>187</v>
      </c>
      <c r="AG15" s="311"/>
      <c r="AH15" s="745" t="s">
        <v>216</v>
      </c>
      <c r="AI15" s="756">
        <v>94</v>
      </c>
      <c r="AJ15" s="311"/>
      <c r="AK15" s="747" t="s">
        <v>205</v>
      </c>
      <c r="AL15" s="753">
        <v>761</v>
      </c>
      <c r="AY15" s="323"/>
      <c r="AZ15" s="325"/>
      <c r="BA15" s="54"/>
      <c r="BB15" s="327"/>
      <c r="BC15" s="325"/>
      <c r="BD15" s="54"/>
      <c r="BE15" s="327"/>
      <c r="BF15" s="40"/>
      <c r="BG15" s="54"/>
      <c r="BH15" s="327"/>
      <c r="BI15" s="40"/>
      <c r="BJ15" s="54"/>
      <c r="BK15" s="327"/>
      <c r="BL15" s="66"/>
      <c r="BY15" s="458"/>
      <c r="BZ15" s="325"/>
      <c r="CA15" s="54"/>
      <c r="CB15" s="461"/>
      <c r="CC15" s="40"/>
      <c r="CD15" s="54"/>
      <c r="CE15" s="458"/>
      <c r="CF15" s="40"/>
      <c r="CG15" s="54"/>
      <c r="CH15" s="458"/>
      <c r="CI15" s="40"/>
      <c r="CJ15" s="54"/>
      <c r="CK15" s="458"/>
      <c r="CL15" s="66"/>
      <c r="CY15" s="51"/>
      <c r="CZ15" s="325"/>
      <c r="DA15" s="54"/>
      <c r="DB15" s="327"/>
      <c r="DC15" s="325"/>
      <c r="DD15" s="54"/>
      <c r="DE15" s="327"/>
      <c r="DF15" s="40"/>
      <c r="DG15" s="54"/>
      <c r="DH15" s="327"/>
      <c r="DI15" s="40"/>
      <c r="DJ15" s="54"/>
      <c r="DK15" s="327"/>
      <c r="DL15" s="66"/>
      <c r="DY15" s="51"/>
      <c r="DZ15" s="325"/>
      <c r="EA15" s="54"/>
      <c r="EB15" s="51"/>
      <c r="EC15" s="325"/>
      <c r="ED15" s="54"/>
      <c r="EE15" s="51"/>
      <c r="EF15" s="325"/>
      <c r="EG15" s="54"/>
      <c r="EH15" s="51"/>
      <c r="EI15" s="325"/>
      <c r="EJ15" s="54"/>
      <c r="EK15" s="51"/>
      <c r="EL15" s="66"/>
      <c r="EY15" s="327"/>
      <c r="EZ15" s="455"/>
      <c r="FA15" s="54"/>
      <c r="FB15" s="327"/>
      <c r="FC15" s="325"/>
      <c r="FD15" s="54"/>
      <c r="FE15" s="327"/>
      <c r="FF15" s="40"/>
      <c r="FG15" s="277"/>
      <c r="FH15" s="51"/>
      <c r="FI15" s="40"/>
      <c r="FJ15" s="54"/>
      <c r="FK15" s="327"/>
      <c r="FL15" s="66"/>
      <c r="FY15" s="457"/>
      <c r="FZ15" s="325"/>
      <c r="GA15" s="73"/>
      <c r="GB15" s="457"/>
      <c r="GC15" s="325"/>
      <c r="GD15" s="73"/>
      <c r="GE15" s="457"/>
      <c r="GF15" s="40"/>
      <c r="GG15" s="465"/>
      <c r="GH15" s="457"/>
      <c r="GI15" s="40"/>
      <c r="GJ15" s="465"/>
      <c r="GK15" s="457"/>
      <c r="GL15" s="66"/>
    </row>
    <row r="16" spans="1:209" ht="15.75">
      <c r="B16" s="329"/>
      <c r="C16" s="325"/>
      <c r="D16" s="73"/>
      <c r="E16" s="399"/>
      <c r="F16" s="365"/>
      <c r="G16" s="73"/>
      <c r="H16" s="356"/>
      <c r="I16" s="68"/>
      <c r="K16" s="790" t="s">
        <v>202</v>
      </c>
      <c r="L16" s="790"/>
      <c r="M16" s="790"/>
      <c r="N16" s="790"/>
      <c r="O16" s="790"/>
      <c r="P16" s="790"/>
      <c r="Q16" s="79" t="s">
        <v>115</v>
      </c>
      <c r="Y16" s="744" t="s">
        <v>140</v>
      </c>
      <c r="Z16" s="750">
        <v>185</v>
      </c>
      <c r="AA16" s="311"/>
      <c r="AB16" s="744" t="s">
        <v>31</v>
      </c>
      <c r="AC16" s="750">
        <v>128</v>
      </c>
      <c r="AD16" s="311"/>
      <c r="AE16" s="744" t="s">
        <v>1</v>
      </c>
      <c r="AF16" s="755">
        <v>186</v>
      </c>
      <c r="AG16" s="311"/>
      <c r="AH16" s="745" t="s">
        <v>100</v>
      </c>
      <c r="AI16" s="756">
        <v>97</v>
      </c>
      <c r="AJ16" s="311"/>
      <c r="AK16" s="743" t="s">
        <v>69</v>
      </c>
      <c r="AL16" s="749">
        <v>757</v>
      </c>
      <c r="AY16" s="323"/>
      <c r="AZ16" s="325"/>
      <c r="BA16" s="54"/>
      <c r="BB16" s="327"/>
      <c r="BC16" s="325"/>
      <c r="BD16" s="54"/>
      <c r="BE16" s="327"/>
      <c r="BF16" s="40"/>
      <c r="BG16" s="54"/>
      <c r="BH16" s="327"/>
      <c r="BI16" s="40"/>
      <c r="BJ16" s="54"/>
      <c r="BK16" s="327"/>
      <c r="BL16" s="66"/>
      <c r="BY16" s="458"/>
      <c r="BZ16" s="325"/>
      <c r="CA16" s="54"/>
      <c r="CB16" s="458"/>
      <c r="CC16" s="40"/>
      <c r="CD16" s="54"/>
      <c r="CE16" s="458"/>
      <c r="CF16" s="40"/>
      <c r="CG16" s="54"/>
      <c r="CH16" s="458"/>
      <c r="CI16" s="40"/>
      <c r="CJ16" s="54"/>
      <c r="CK16" s="458"/>
      <c r="CL16" s="66"/>
      <c r="CY16" s="51"/>
      <c r="CZ16" s="325"/>
      <c r="DA16" s="54"/>
      <c r="DB16" s="327"/>
      <c r="DC16" s="325"/>
      <c r="DD16" s="54"/>
      <c r="DE16" s="51"/>
      <c r="DF16" s="40"/>
      <c r="DG16" s="54"/>
      <c r="DH16" s="327"/>
      <c r="DI16" s="40"/>
      <c r="DJ16" s="54"/>
      <c r="DK16" s="327"/>
      <c r="DL16" s="66"/>
      <c r="DY16" s="51"/>
      <c r="DZ16" s="325"/>
      <c r="EA16" s="54"/>
      <c r="EB16" s="51"/>
      <c r="EC16" s="325"/>
      <c r="ED16" s="54"/>
      <c r="EE16" s="51"/>
      <c r="EF16" s="325"/>
      <c r="EG16" s="54"/>
      <c r="EH16" s="51"/>
      <c r="EI16" s="325"/>
      <c r="EJ16" s="54"/>
      <c r="EK16" s="51"/>
      <c r="EL16" s="66"/>
      <c r="EY16" s="327"/>
      <c r="EZ16" s="455"/>
      <c r="FA16" s="54"/>
      <c r="FB16" s="327"/>
      <c r="FC16" s="325"/>
      <c r="FD16" s="54"/>
      <c r="FE16" s="327"/>
      <c r="FF16" s="40"/>
      <c r="FG16" s="277"/>
      <c r="FH16" s="327"/>
      <c r="FI16" s="40"/>
      <c r="FJ16" s="54"/>
      <c r="FK16" s="327"/>
      <c r="FL16" s="66"/>
      <c r="FY16" s="457"/>
      <c r="FZ16" s="325"/>
      <c r="GA16" s="73"/>
      <c r="GB16" s="457"/>
      <c r="GC16" s="325"/>
      <c r="GD16" s="73"/>
      <c r="GE16" s="457"/>
      <c r="GF16" s="40"/>
      <c r="GG16" s="465"/>
      <c r="GH16" s="457"/>
      <c r="GI16" s="40"/>
      <c r="GJ16" s="465"/>
      <c r="GK16" s="457"/>
      <c r="GL16" s="66"/>
    </row>
    <row r="17" spans="1:194" ht="15.75">
      <c r="B17" s="51"/>
      <c r="C17" s="455"/>
      <c r="D17" s="73"/>
      <c r="E17" s="356"/>
      <c r="F17" s="288"/>
      <c r="G17" s="73"/>
      <c r="H17" s="400"/>
      <c r="I17" s="66"/>
      <c r="K17" s="74" t="s">
        <v>107</v>
      </c>
      <c r="L17" s="100"/>
      <c r="M17" s="100"/>
      <c r="N17" s="75"/>
      <c r="O17" s="74" t="s">
        <v>107</v>
      </c>
      <c r="P17" s="99"/>
      <c r="Q17" s="101"/>
      <c r="Y17" s="743" t="s">
        <v>4</v>
      </c>
      <c r="Z17" s="749">
        <v>183</v>
      </c>
      <c r="AA17" s="311"/>
      <c r="AB17" s="746" t="s">
        <v>112</v>
      </c>
      <c r="AC17" s="752">
        <v>128</v>
      </c>
      <c r="AD17" s="311"/>
      <c r="AE17" s="744" t="s">
        <v>140</v>
      </c>
      <c r="AF17" s="755">
        <v>185</v>
      </c>
      <c r="AG17" s="311"/>
      <c r="AH17" s="746" t="s">
        <v>219</v>
      </c>
      <c r="AI17" s="757">
        <v>97</v>
      </c>
      <c r="AJ17" s="311"/>
      <c r="AK17" s="745" t="s">
        <v>215</v>
      </c>
      <c r="AL17" s="759">
        <v>756</v>
      </c>
      <c r="AY17" s="323"/>
      <c r="AZ17" s="325"/>
      <c r="BA17" s="54"/>
      <c r="BB17" s="327"/>
      <c r="BC17" s="325"/>
      <c r="BD17" s="54"/>
      <c r="BE17" s="327"/>
      <c r="BF17" s="40"/>
      <c r="BG17" s="54"/>
      <c r="BH17" s="327"/>
      <c r="BI17" s="40"/>
      <c r="BJ17" s="54"/>
      <c r="BK17" s="327"/>
      <c r="BL17" s="66"/>
      <c r="BY17" s="458"/>
      <c r="BZ17" s="325"/>
      <c r="CA17" s="54"/>
      <c r="CB17" s="458"/>
      <c r="CC17" s="40"/>
      <c r="CD17" s="54"/>
      <c r="CE17" s="458"/>
      <c r="CF17" s="40"/>
      <c r="CG17" s="54"/>
      <c r="CH17" s="458"/>
      <c r="CI17" s="40"/>
      <c r="CJ17" s="54"/>
      <c r="CK17" s="458"/>
      <c r="CL17" s="66"/>
      <c r="CY17" s="51"/>
      <c r="CZ17" s="325"/>
      <c r="DA17" s="54"/>
      <c r="DB17" s="51"/>
      <c r="DC17" s="325"/>
      <c r="DD17" s="54"/>
      <c r="DE17" s="327"/>
      <c r="DF17" s="40"/>
      <c r="DG17" s="54"/>
      <c r="DH17" s="51"/>
      <c r="DI17" s="40"/>
      <c r="DJ17" s="54"/>
      <c r="DK17" s="51"/>
      <c r="DL17" s="66"/>
      <c r="DY17" s="51"/>
      <c r="DZ17" s="325"/>
      <c r="EA17" s="54"/>
      <c r="EB17" s="51"/>
      <c r="EC17" s="325"/>
      <c r="ED17" s="54"/>
      <c r="EE17" s="51"/>
      <c r="EF17" s="325"/>
      <c r="EG17" s="54"/>
      <c r="EH17" s="51"/>
      <c r="EI17" s="325"/>
      <c r="EJ17" s="54"/>
      <c r="EK17" s="51"/>
      <c r="EL17" s="66"/>
      <c r="EY17" s="51"/>
      <c r="EZ17" s="455"/>
      <c r="FA17" s="54"/>
      <c r="FB17" s="327"/>
      <c r="FC17" s="325"/>
      <c r="FD17" s="54"/>
      <c r="FE17" s="51"/>
      <c r="FF17" s="40"/>
      <c r="FG17" s="277"/>
      <c r="FH17" s="51"/>
      <c r="FI17" s="40"/>
      <c r="FJ17" s="54"/>
      <c r="FK17" s="327"/>
      <c r="FL17" s="66"/>
      <c r="FY17" s="457"/>
      <c r="FZ17" s="325"/>
      <c r="GA17" s="73"/>
      <c r="GB17" s="457"/>
      <c r="GC17" s="325"/>
      <c r="GD17" s="73"/>
      <c r="GE17" s="457"/>
      <c r="GF17" s="40"/>
      <c r="GG17" s="465"/>
      <c r="GH17" s="457"/>
      <c r="GI17" s="40"/>
      <c r="GJ17" s="465"/>
      <c r="GK17" s="457"/>
      <c r="GL17" s="66"/>
    </row>
    <row r="18" spans="1:194" ht="15.75">
      <c r="B18" s="457"/>
      <c r="C18" s="325"/>
      <c r="D18" s="73"/>
      <c r="E18" s="363"/>
      <c r="F18" s="365"/>
      <c r="G18" s="73"/>
      <c r="H18" s="445"/>
      <c r="I18" s="447"/>
      <c r="K18" s="74" t="s">
        <v>108</v>
      </c>
      <c r="L18" s="100"/>
      <c r="M18" s="100"/>
      <c r="N18" s="75"/>
      <c r="O18" s="74" t="s">
        <v>108</v>
      </c>
      <c r="P18" s="458"/>
      <c r="Q18" s="66"/>
      <c r="Y18" s="743" t="s">
        <v>79</v>
      </c>
      <c r="Z18" s="749">
        <v>183</v>
      </c>
      <c r="AA18" s="311"/>
      <c r="AB18" s="746" t="s">
        <v>27</v>
      </c>
      <c r="AC18" s="752">
        <v>128</v>
      </c>
      <c r="AD18" s="311"/>
      <c r="AE18" s="743" t="s">
        <v>79</v>
      </c>
      <c r="AF18" s="754">
        <v>183</v>
      </c>
      <c r="AG18" s="311"/>
      <c r="AH18" s="743" t="s">
        <v>96</v>
      </c>
      <c r="AI18" s="754">
        <v>99</v>
      </c>
      <c r="AJ18" s="311"/>
      <c r="AK18" s="746" t="s">
        <v>65</v>
      </c>
      <c r="AL18" s="752">
        <v>755</v>
      </c>
      <c r="AY18" s="323"/>
      <c r="AZ18" s="325"/>
      <c r="BA18" s="54"/>
      <c r="BB18" s="327"/>
      <c r="BC18" s="325"/>
      <c r="BD18" s="54"/>
      <c r="BE18" s="327"/>
      <c r="BF18" s="40"/>
      <c r="BG18" s="54"/>
      <c r="BH18" s="327"/>
      <c r="BI18" s="40"/>
      <c r="BJ18" s="54"/>
      <c r="BK18" s="327"/>
      <c r="BL18" s="66"/>
      <c r="BY18" s="458"/>
      <c r="BZ18" s="325"/>
      <c r="CA18" s="54"/>
      <c r="CB18" s="458"/>
      <c r="CC18" s="40"/>
      <c r="CD18" s="54"/>
      <c r="CE18" s="458"/>
      <c r="CF18" s="40"/>
      <c r="CG18" s="54"/>
      <c r="CH18" s="458"/>
      <c r="CI18" s="40"/>
      <c r="CJ18" s="54"/>
      <c r="CK18" s="458"/>
      <c r="CL18" s="66"/>
      <c r="CY18" s="327"/>
      <c r="CZ18" s="325"/>
      <c r="DA18" s="54"/>
      <c r="DB18" s="327"/>
      <c r="DC18" s="325"/>
      <c r="DD18" s="54"/>
      <c r="DE18" s="51"/>
      <c r="DF18" s="40"/>
      <c r="DG18" s="54"/>
      <c r="DH18" s="51"/>
      <c r="DI18" s="40"/>
      <c r="DJ18" s="54"/>
      <c r="DK18" s="327"/>
      <c r="DL18" s="66"/>
      <c r="DY18" s="51"/>
      <c r="DZ18" s="325"/>
      <c r="EA18" s="54"/>
      <c r="EB18" s="51"/>
      <c r="EC18" s="325"/>
      <c r="ED18" s="54"/>
      <c r="EE18" s="51"/>
      <c r="EF18" s="325"/>
      <c r="EG18" s="54"/>
      <c r="EH18" s="51"/>
      <c r="EI18" s="325"/>
      <c r="EJ18" s="54"/>
      <c r="EK18" s="51"/>
      <c r="EL18" s="66"/>
      <c r="EY18" s="327"/>
      <c r="EZ18" s="455"/>
      <c r="FA18" s="54"/>
      <c r="FB18" s="327"/>
      <c r="FC18" s="325"/>
      <c r="FD18" s="54"/>
      <c r="FE18" s="51"/>
      <c r="FF18" s="40"/>
      <c r="FG18" s="277"/>
      <c r="FH18" s="51"/>
      <c r="FI18" s="40"/>
      <c r="FJ18" s="54"/>
      <c r="FK18" s="327"/>
      <c r="FL18" s="66"/>
      <c r="FY18" s="457"/>
      <c r="FZ18" s="325"/>
      <c r="GA18" s="73"/>
      <c r="GB18" s="457"/>
      <c r="GC18" s="325"/>
      <c r="GD18" s="73"/>
      <c r="GE18" s="457"/>
      <c r="GF18" s="40"/>
      <c r="GG18" s="465"/>
      <c r="GH18" s="457"/>
      <c r="GI18" s="40"/>
      <c r="GJ18" s="465"/>
      <c r="GK18" s="457"/>
      <c r="GL18" s="66"/>
    </row>
    <row r="19" spans="1:194" ht="15.75">
      <c r="B19" s="327"/>
      <c r="C19" s="40"/>
      <c r="D19" s="73"/>
      <c r="E19" s="377"/>
      <c r="F19" s="366"/>
      <c r="G19" s="73"/>
      <c r="H19" s="361"/>
      <c r="I19" s="369"/>
      <c r="K19" s="74" t="s">
        <v>109</v>
      </c>
      <c r="L19" s="327"/>
      <c r="M19" s="100"/>
      <c r="N19" s="75"/>
      <c r="O19" s="74" t="s">
        <v>109</v>
      </c>
      <c r="P19" s="458"/>
      <c r="Q19" s="66"/>
      <c r="Y19" s="747" t="s">
        <v>207</v>
      </c>
      <c r="Z19" s="753">
        <v>180</v>
      </c>
      <c r="AA19" s="311"/>
      <c r="AB19" s="743" t="s">
        <v>35</v>
      </c>
      <c r="AC19" s="749">
        <v>127</v>
      </c>
      <c r="AD19" s="311"/>
      <c r="AE19" s="743" t="s">
        <v>4</v>
      </c>
      <c r="AF19" s="754">
        <v>183</v>
      </c>
      <c r="AG19" s="311"/>
      <c r="AH19" s="746" t="s">
        <v>170</v>
      </c>
      <c r="AI19" s="757">
        <v>99</v>
      </c>
      <c r="AJ19" s="311"/>
      <c r="AK19" s="744" t="s">
        <v>140</v>
      </c>
      <c r="AL19" s="750">
        <v>751</v>
      </c>
      <c r="AY19" s="323"/>
      <c r="AZ19" s="325"/>
      <c r="BA19" s="54"/>
      <c r="BB19" s="327"/>
      <c r="BC19" s="325"/>
      <c r="BD19" s="54"/>
      <c r="BE19" s="327"/>
      <c r="BF19" s="40"/>
      <c r="BG19" s="54"/>
      <c r="BH19" s="327"/>
      <c r="BI19" s="40"/>
      <c r="BJ19" s="54"/>
      <c r="BK19" s="327"/>
      <c r="BL19" s="66"/>
      <c r="BY19" s="458"/>
      <c r="BZ19" s="325"/>
      <c r="CA19" s="54"/>
      <c r="CB19" s="458"/>
      <c r="CC19" s="40"/>
      <c r="CD19" s="54"/>
      <c r="CE19" s="458"/>
      <c r="CF19" s="40"/>
      <c r="CG19" s="54"/>
      <c r="CH19" s="458"/>
      <c r="CI19" s="40"/>
      <c r="CJ19" s="54"/>
      <c r="CK19" s="458"/>
      <c r="CL19" s="66"/>
      <c r="CY19" s="327"/>
      <c r="CZ19" s="325"/>
      <c r="DA19" s="54"/>
      <c r="DB19" s="51"/>
      <c r="DC19" s="325"/>
      <c r="DD19" s="54"/>
      <c r="DE19" s="51"/>
      <c r="DF19" s="40"/>
      <c r="DG19" s="54"/>
      <c r="DH19" s="51"/>
      <c r="DI19" s="40"/>
      <c r="DJ19" s="54"/>
      <c r="DK19" s="327"/>
      <c r="DL19" s="66"/>
      <c r="DY19" s="51"/>
      <c r="DZ19" s="325"/>
      <c r="EA19" s="54"/>
      <c r="EB19" s="51"/>
      <c r="EC19" s="325"/>
      <c r="ED19" s="54"/>
      <c r="EE19" s="51"/>
      <c r="EF19" s="325"/>
      <c r="EG19" s="54"/>
      <c r="EH19" s="51"/>
      <c r="EI19" s="325"/>
      <c r="EJ19" s="54"/>
      <c r="EK19" s="51"/>
      <c r="EL19" s="66"/>
      <c r="EY19" s="51"/>
      <c r="EZ19" s="455"/>
      <c r="FA19" s="54"/>
      <c r="FB19" s="51"/>
      <c r="FC19" s="325"/>
      <c r="FD19" s="54"/>
      <c r="FE19" s="327"/>
      <c r="FF19" s="40"/>
      <c r="FG19" s="277"/>
      <c r="FH19" s="51"/>
      <c r="FI19" s="40"/>
      <c r="FJ19" s="54"/>
      <c r="FK19" s="327"/>
      <c r="FL19" s="66"/>
      <c r="FY19" s="457"/>
      <c r="FZ19" s="325"/>
      <c r="GA19" s="73"/>
      <c r="GB19" s="457"/>
      <c r="GC19" s="325"/>
      <c r="GD19" s="73"/>
      <c r="GE19" s="457"/>
      <c r="GF19" s="40"/>
      <c r="GG19" s="465"/>
      <c r="GH19" s="457"/>
      <c r="GI19" s="40"/>
      <c r="GJ19" s="465"/>
      <c r="GK19" s="457"/>
      <c r="GL19" s="66"/>
    </row>
    <row r="20" spans="1:194" ht="15.75">
      <c r="B20" s="327"/>
      <c r="C20" s="40"/>
      <c r="D20" s="73"/>
      <c r="E20" s="444"/>
      <c r="F20" s="446"/>
      <c r="G20" s="73"/>
      <c r="H20" s="357"/>
      <c r="I20" s="346"/>
      <c r="K20" s="783" t="s">
        <v>184</v>
      </c>
      <c r="L20" s="783"/>
      <c r="M20" s="783"/>
      <c r="N20" s="783"/>
      <c r="O20" s="783"/>
      <c r="P20" s="783"/>
      <c r="Q20" s="79" t="s">
        <v>115</v>
      </c>
      <c r="Y20" s="743" t="s">
        <v>35</v>
      </c>
      <c r="Z20" s="749">
        <v>177</v>
      </c>
      <c r="AA20" s="311"/>
      <c r="AB20" s="746" t="s">
        <v>66</v>
      </c>
      <c r="AC20" s="752">
        <v>126</v>
      </c>
      <c r="AD20" s="311"/>
      <c r="AE20" s="747" t="s">
        <v>207</v>
      </c>
      <c r="AF20" s="758">
        <v>180</v>
      </c>
      <c r="AG20" s="311"/>
      <c r="AH20" s="746" t="s">
        <v>29</v>
      </c>
      <c r="AI20" s="757">
        <v>99</v>
      </c>
      <c r="AJ20" s="311"/>
      <c r="AK20" s="743" t="s">
        <v>80</v>
      </c>
      <c r="AL20" s="749">
        <v>749</v>
      </c>
      <c r="AY20" s="323"/>
      <c r="AZ20" s="325"/>
      <c r="BA20" s="54"/>
      <c r="BB20" s="327"/>
      <c r="BC20" s="325"/>
      <c r="BD20" s="54"/>
      <c r="BE20" s="327"/>
      <c r="BF20" s="40"/>
      <c r="BG20" s="54"/>
      <c r="BH20" s="327"/>
      <c r="BI20" s="40"/>
      <c r="BJ20" s="54"/>
      <c r="BK20" s="327"/>
      <c r="BL20" s="66"/>
      <c r="BY20" s="458"/>
      <c r="BZ20" s="325"/>
      <c r="CA20" s="54"/>
      <c r="CB20" s="458"/>
      <c r="CC20" s="40"/>
      <c r="CD20" s="54"/>
      <c r="CE20" s="458"/>
      <c r="CF20" s="40"/>
      <c r="CG20" s="54"/>
      <c r="CH20" s="458"/>
      <c r="CI20" s="40"/>
      <c r="CJ20" s="54"/>
      <c r="CK20" s="458"/>
      <c r="CL20" s="66"/>
      <c r="CY20" s="51"/>
      <c r="CZ20" s="325"/>
      <c r="DA20" s="54"/>
      <c r="DB20" s="327"/>
      <c r="DC20" s="325"/>
      <c r="DD20" s="54"/>
      <c r="DE20" s="51"/>
      <c r="DF20" s="40"/>
      <c r="DG20" s="54"/>
      <c r="DH20" s="51"/>
      <c r="DI20" s="40"/>
      <c r="DJ20" s="54"/>
      <c r="DK20" s="327"/>
      <c r="DL20" s="66"/>
      <c r="DY20" s="51"/>
      <c r="DZ20" s="325"/>
      <c r="EA20" s="54"/>
      <c r="EB20" s="51"/>
      <c r="EC20" s="325"/>
      <c r="ED20" s="54"/>
      <c r="EE20" s="51"/>
      <c r="EF20" s="325"/>
      <c r="EG20" s="54"/>
      <c r="EH20" s="51"/>
      <c r="EI20" s="325"/>
      <c r="EJ20" s="54"/>
      <c r="EK20" s="51"/>
      <c r="EL20" s="66"/>
      <c r="EY20" s="51"/>
      <c r="EZ20" s="455"/>
      <c r="FA20" s="54"/>
      <c r="FB20" s="327"/>
      <c r="FC20" s="325"/>
      <c r="FD20" s="54"/>
      <c r="FE20" s="327"/>
      <c r="FF20" s="40"/>
      <c r="FG20" s="277"/>
      <c r="FH20" s="327"/>
      <c r="FI20" s="40"/>
      <c r="FJ20" s="54"/>
      <c r="FK20" s="327"/>
      <c r="FL20" s="66"/>
      <c r="FY20" s="457"/>
      <c r="FZ20" s="325"/>
      <c r="GA20" s="73"/>
      <c r="GB20" s="457"/>
      <c r="GC20" s="325"/>
      <c r="GD20" s="73"/>
      <c r="GE20" s="457"/>
      <c r="GF20" s="40"/>
      <c r="GG20" s="465"/>
      <c r="GH20" s="457"/>
      <c r="GI20" s="40"/>
      <c r="GJ20" s="465"/>
      <c r="GK20" s="457"/>
      <c r="GL20" s="66"/>
    </row>
    <row r="21" spans="1:194" ht="15.75">
      <c r="B21" s="327"/>
      <c r="C21" s="40"/>
      <c r="D21" s="73"/>
      <c r="E21" s="354"/>
      <c r="F21" s="102"/>
      <c r="G21" s="73"/>
      <c r="H21" s="335"/>
      <c r="I21" s="351"/>
      <c r="K21" s="74" t="s">
        <v>107</v>
      </c>
      <c r="L21" s="100"/>
      <c r="M21" s="100"/>
      <c r="N21" s="75"/>
      <c r="O21" s="74" t="s">
        <v>107</v>
      </c>
      <c r="P21" s="327"/>
      <c r="Q21" s="101"/>
      <c r="Y21" s="743" t="s">
        <v>159</v>
      </c>
      <c r="Z21" s="749">
        <v>177</v>
      </c>
      <c r="AA21" s="311"/>
      <c r="AB21" s="746" t="s">
        <v>67</v>
      </c>
      <c r="AC21" s="752">
        <v>125</v>
      </c>
      <c r="AD21" s="311"/>
      <c r="AE21" s="745" t="s">
        <v>97</v>
      </c>
      <c r="AF21" s="756">
        <v>179</v>
      </c>
      <c r="AG21" s="311"/>
      <c r="AH21" s="743" t="s">
        <v>159</v>
      </c>
      <c r="AI21" s="754">
        <v>100</v>
      </c>
      <c r="AJ21" s="311"/>
      <c r="AK21" s="743" t="s">
        <v>159</v>
      </c>
      <c r="AL21" s="749">
        <v>749</v>
      </c>
      <c r="AY21" s="323"/>
      <c r="AZ21" s="325"/>
      <c r="BA21" s="54"/>
      <c r="BB21" s="327"/>
      <c r="BC21" s="325"/>
      <c r="BD21" s="54"/>
      <c r="BE21" s="327"/>
      <c r="BF21" s="40"/>
      <c r="BG21" s="54"/>
      <c r="BH21" s="327"/>
      <c r="BI21" s="40"/>
      <c r="BJ21" s="54"/>
      <c r="BK21" s="327"/>
      <c r="BL21" s="66"/>
      <c r="BY21" s="458"/>
      <c r="BZ21" s="325"/>
      <c r="CA21" s="54"/>
      <c r="CB21" s="458"/>
      <c r="CC21" s="40"/>
      <c r="CD21" s="54"/>
      <c r="CE21" s="458"/>
      <c r="CF21" s="40"/>
      <c r="CG21" s="54"/>
      <c r="CH21" s="458"/>
      <c r="CI21" s="40"/>
      <c r="CJ21" s="54"/>
      <c r="CK21" s="458"/>
      <c r="CL21" s="66"/>
      <c r="CY21" s="51"/>
      <c r="CZ21" s="325"/>
      <c r="DA21" s="54"/>
      <c r="DB21" s="51"/>
      <c r="DC21" s="325"/>
      <c r="DD21" s="54"/>
      <c r="DE21" s="327"/>
      <c r="DF21" s="40"/>
      <c r="DG21" s="54"/>
      <c r="DH21" s="51"/>
      <c r="DI21" s="40"/>
      <c r="DJ21" s="54"/>
      <c r="DK21" s="327"/>
      <c r="DL21" s="66"/>
      <c r="DY21" s="51"/>
      <c r="DZ21" s="325"/>
      <c r="EA21" s="54"/>
      <c r="EB21" s="51"/>
      <c r="EC21" s="325"/>
      <c r="ED21" s="54"/>
      <c r="EE21" s="51"/>
      <c r="EF21" s="325"/>
      <c r="EG21" s="54"/>
      <c r="EH21" s="51"/>
      <c r="EI21" s="325"/>
      <c r="EJ21" s="54"/>
      <c r="EK21" s="51"/>
      <c r="EL21" s="66"/>
      <c r="EY21" s="327"/>
      <c r="EZ21" s="455"/>
      <c r="FA21" s="54"/>
      <c r="FB21" s="327"/>
      <c r="FC21" s="325"/>
      <c r="FD21" s="54"/>
      <c r="FE21" s="327"/>
      <c r="FF21" s="40"/>
      <c r="FG21" s="277"/>
      <c r="FH21" s="327"/>
      <c r="FI21" s="40"/>
      <c r="FJ21" s="54"/>
      <c r="FK21" s="51"/>
      <c r="FL21" s="66"/>
      <c r="FY21" s="457"/>
      <c r="FZ21" s="325"/>
      <c r="GA21" s="73"/>
      <c r="GB21" s="457"/>
      <c r="GC21" s="325"/>
      <c r="GD21" s="73"/>
      <c r="GE21" s="457"/>
      <c r="GF21" s="40"/>
      <c r="GG21" s="465"/>
      <c r="GH21" s="457"/>
      <c r="GI21" s="40"/>
      <c r="GJ21" s="465"/>
      <c r="GK21" s="457"/>
      <c r="GL21" s="66"/>
    </row>
    <row r="22" spans="1:194" ht="15.75">
      <c r="B22" s="457"/>
      <c r="C22" s="325"/>
      <c r="D22" s="73"/>
      <c r="E22" s="354"/>
      <c r="F22" s="102"/>
      <c r="G22" s="73"/>
      <c r="H22" s="357"/>
      <c r="I22" s="346"/>
      <c r="K22" s="74" t="s">
        <v>108</v>
      </c>
      <c r="L22" s="100"/>
      <c r="M22" s="100"/>
      <c r="N22" s="75"/>
      <c r="O22" s="74" t="s">
        <v>108</v>
      </c>
      <c r="P22" s="327"/>
      <c r="Q22" s="66"/>
      <c r="Y22" s="745" t="s">
        <v>64</v>
      </c>
      <c r="Z22" s="751">
        <v>176</v>
      </c>
      <c r="AA22" s="311"/>
      <c r="AB22" s="747" t="s">
        <v>156</v>
      </c>
      <c r="AC22" s="753">
        <v>125</v>
      </c>
      <c r="AD22" s="311"/>
      <c r="AE22" s="744" t="s">
        <v>1</v>
      </c>
      <c r="AF22" s="755">
        <v>178</v>
      </c>
      <c r="AG22" s="311"/>
      <c r="AH22" s="743" t="s">
        <v>9</v>
      </c>
      <c r="AI22" s="754">
        <v>101</v>
      </c>
      <c r="AJ22" s="311"/>
      <c r="AK22" s="743" t="s">
        <v>4</v>
      </c>
      <c r="AL22" s="749">
        <v>748</v>
      </c>
      <c r="AY22" s="323"/>
      <c r="AZ22" s="325"/>
      <c r="BA22" s="54"/>
      <c r="BB22" s="327"/>
      <c r="BC22" s="325"/>
      <c r="BD22" s="54"/>
      <c r="BE22" s="327"/>
      <c r="BF22" s="40"/>
      <c r="BG22" s="54"/>
      <c r="BH22" s="327"/>
      <c r="BI22" s="40"/>
      <c r="BJ22" s="54"/>
      <c r="BK22" s="327"/>
      <c r="BL22" s="66"/>
      <c r="BY22" s="458"/>
      <c r="BZ22" s="325"/>
      <c r="CA22" s="54"/>
      <c r="CB22" s="458"/>
      <c r="CC22" s="40"/>
      <c r="CD22" s="54"/>
      <c r="CE22" s="458"/>
      <c r="CF22" s="40"/>
      <c r="CG22" s="54"/>
      <c r="CH22" s="458"/>
      <c r="CI22" s="40"/>
      <c r="CJ22" s="54"/>
      <c r="CK22" s="458"/>
      <c r="CL22" s="66"/>
      <c r="CY22" s="327"/>
      <c r="CZ22" s="325"/>
      <c r="DA22" s="54"/>
      <c r="DB22" s="327"/>
      <c r="DC22" s="325"/>
      <c r="DD22" s="54"/>
      <c r="DE22" s="327"/>
      <c r="DF22" s="40"/>
      <c r="DG22" s="54"/>
      <c r="DH22" s="327"/>
      <c r="DI22" s="40"/>
      <c r="DJ22" s="54"/>
      <c r="DK22" s="327"/>
      <c r="DL22" s="66"/>
      <c r="DY22" s="51"/>
      <c r="DZ22" s="325"/>
      <c r="EA22" s="54"/>
      <c r="EB22" s="51"/>
      <c r="EC22" s="325"/>
      <c r="ED22" s="54"/>
      <c r="EE22" s="51"/>
      <c r="EF22" s="325"/>
      <c r="EG22" s="54"/>
      <c r="EH22" s="51"/>
      <c r="EI22" s="325"/>
      <c r="EJ22" s="54"/>
      <c r="EK22" s="51"/>
      <c r="EL22" s="66"/>
      <c r="EY22" s="51"/>
      <c r="EZ22" s="455"/>
      <c r="FA22" s="54"/>
      <c r="FB22" s="327"/>
      <c r="FC22" s="325"/>
      <c r="FD22" s="54"/>
      <c r="FE22" s="327"/>
      <c r="FF22" s="40"/>
      <c r="FG22" s="277"/>
      <c r="FH22" s="327"/>
      <c r="FI22" s="40"/>
      <c r="FJ22" s="54"/>
      <c r="FK22" s="327"/>
      <c r="FL22" s="66"/>
      <c r="FY22" s="457"/>
      <c r="FZ22" s="325"/>
      <c r="GA22" s="73"/>
      <c r="GB22" s="457"/>
      <c r="GC22" s="325"/>
      <c r="GD22" s="73"/>
      <c r="GE22" s="457"/>
      <c r="GF22" s="40"/>
      <c r="GG22" s="465"/>
      <c r="GH22" s="457"/>
      <c r="GI22" s="40"/>
      <c r="GJ22" s="465"/>
      <c r="GK22" s="457"/>
      <c r="GL22" s="66"/>
    </row>
    <row r="23" spans="1:194" ht="15.75">
      <c r="B23" s="329"/>
      <c r="C23" s="325"/>
      <c r="D23" s="73"/>
      <c r="E23" s="358"/>
      <c r="F23" s="288"/>
      <c r="G23" s="73"/>
      <c r="H23" s="327"/>
      <c r="I23" s="66"/>
      <c r="K23" s="74" t="s">
        <v>109</v>
      </c>
      <c r="L23" s="100"/>
      <c r="M23" s="100"/>
      <c r="N23" s="75"/>
      <c r="O23" s="74" t="s">
        <v>109</v>
      </c>
      <c r="P23" s="326"/>
      <c r="Q23" s="66"/>
      <c r="Y23" s="747" t="s">
        <v>206</v>
      </c>
      <c r="Z23" s="753">
        <v>176</v>
      </c>
      <c r="AA23" s="312"/>
      <c r="AB23" s="746" t="s">
        <v>90</v>
      </c>
      <c r="AC23" s="752">
        <v>122</v>
      </c>
      <c r="AD23" s="312"/>
      <c r="AE23" s="743" t="s">
        <v>35</v>
      </c>
      <c r="AF23" s="754">
        <v>177</v>
      </c>
      <c r="AG23" s="312"/>
      <c r="AH23" s="747" t="s">
        <v>34</v>
      </c>
      <c r="AI23" s="758">
        <v>103</v>
      </c>
      <c r="AJ23" s="312"/>
      <c r="AK23" s="745" t="s">
        <v>59</v>
      </c>
      <c r="AL23" s="759">
        <v>748</v>
      </c>
      <c r="AY23" s="323"/>
      <c r="AZ23" s="325"/>
      <c r="BA23" s="55"/>
      <c r="BB23" s="327"/>
      <c r="BC23" s="325"/>
      <c r="BD23" s="55"/>
      <c r="BE23" s="327"/>
      <c r="BF23" s="40"/>
      <c r="BG23" s="55"/>
      <c r="BH23" s="327"/>
      <c r="BI23" s="40"/>
      <c r="BJ23" s="55"/>
      <c r="BK23" s="327"/>
      <c r="BL23" s="66"/>
      <c r="BY23" s="458"/>
      <c r="BZ23" s="325"/>
      <c r="CA23" s="55"/>
      <c r="CB23" s="458"/>
      <c r="CC23" s="40"/>
      <c r="CD23" s="290"/>
      <c r="CE23" s="458"/>
      <c r="CF23" s="40"/>
      <c r="CG23" s="55"/>
      <c r="CH23" s="458"/>
      <c r="CI23" s="40"/>
      <c r="CJ23" s="55"/>
      <c r="CK23" s="458"/>
      <c r="CL23" s="66"/>
      <c r="CY23" s="51"/>
      <c r="CZ23" s="325"/>
      <c r="DA23" s="290"/>
      <c r="DB23" s="327"/>
      <c r="DC23" s="325"/>
      <c r="DD23" s="290"/>
      <c r="DE23" s="51"/>
      <c r="DF23" s="40"/>
      <c r="DG23" s="290"/>
      <c r="DH23" s="51"/>
      <c r="DI23" s="40"/>
      <c r="DJ23" s="290"/>
      <c r="DK23" s="51"/>
      <c r="DL23" s="66"/>
      <c r="DY23" s="51"/>
      <c r="DZ23" s="325"/>
      <c r="EA23" s="290"/>
      <c r="EB23" s="51"/>
      <c r="EC23" s="325"/>
      <c r="ED23" s="290"/>
      <c r="EE23" s="51"/>
      <c r="EF23" s="325"/>
      <c r="EG23" s="290"/>
      <c r="EH23" s="51"/>
      <c r="EI23" s="325"/>
      <c r="EJ23" s="290"/>
      <c r="EK23" s="51"/>
      <c r="EL23" s="66"/>
      <c r="EY23" s="327"/>
      <c r="EZ23" s="455"/>
      <c r="FA23" s="55"/>
      <c r="FB23" s="327"/>
      <c r="FC23" s="325"/>
      <c r="FD23" s="55"/>
      <c r="FE23" s="327"/>
      <c r="FF23" s="40"/>
      <c r="FG23" s="278"/>
      <c r="FH23" s="327"/>
      <c r="FI23" s="40"/>
      <c r="FJ23" s="55"/>
      <c r="FK23" s="327"/>
      <c r="FL23" s="66"/>
      <c r="FY23" s="457"/>
      <c r="FZ23" s="325"/>
      <c r="GA23" s="464"/>
      <c r="GB23" s="457"/>
      <c r="GC23" s="325"/>
      <c r="GD23" s="464"/>
      <c r="GE23" s="457"/>
      <c r="GF23" s="40"/>
      <c r="GG23" s="466"/>
      <c r="GH23" s="457"/>
      <c r="GI23" s="40"/>
      <c r="GJ23" s="466"/>
      <c r="GK23" s="457"/>
      <c r="GL23" s="66"/>
    </row>
    <row r="24" spans="1:194" ht="15.75">
      <c r="B24" s="456"/>
      <c r="C24" s="40"/>
      <c r="D24" s="73"/>
      <c r="E24" s="350"/>
      <c r="F24" s="289"/>
      <c r="G24" s="73"/>
      <c r="H24" s="358"/>
      <c r="I24" s="68"/>
      <c r="K24" s="782" t="s">
        <v>185</v>
      </c>
      <c r="L24" s="782"/>
      <c r="M24" s="782"/>
      <c r="N24" s="782"/>
      <c r="O24" s="782"/>
      <c r="P24" s="782"/>
      <c r="Q24" s="79" t="s">
        <v>115</v>
      </c>
      <c r="Y24" s="743" t="s">
        <v>80</v>
      </c>
      <c r="Z24" s="749">
        <v>175</v>
      </c>
      <c r="AA24" s="311"/>
      <c r="AB24" s="744" t="s">
        <v>214</v>
      </c>
      <c r="AC24" s="750">
        <v>121</v>
      </c>
      <c r="AD24" s="311"/>
      <c r="AE24" s="743" t="s">
        <v>159</v>
      </c>
      <c r="AF24" s="754">
        <v>177</v>
      </c>
      <c r="AG24" s="311"/>
      <c r="AH24" s="744" t="s">
        <v>72</v>
      </c>
      <c r="AI24" s="755">
        <v>103</v>
      </c>
      <c r="AJ24" s="311"/>
      <c r="AK24" s="743" t="s">
        <v>35</v>
      </c>
      <c r="AL24" s="749">
        <v>737</v>
      </c>
      <c r="AY24" s="323"/>
      <c r="AZ24" s="325"/>
      <c r="BA24" s="54"/>
      <c r="BB24" s="327"/>
      <c r="BC24" s="325"/>
      <c r="BD24" s="54"/>
      <c r="BE24" s="327"/>
      <c r="BF24" s="40"/>
      <c r="BG24" s="54"/>
      <c r="BH24" s="327"/>
      <c r="BI24" s="40"/>
      <c r="BJ24" s="54"/>
      <c r="BK24" s="327"/>
      <c r="BL24" s="66"/>
      <c r="BY24" s="458"/>
      <c r="BZ24" s="325"/>
      <c r="CA24" s="54"/>
      <c r="CB24" s="458"/>
      <c r="CC24" s="40"/>
      <c r="CD24" s="54"/>
      <c r="CE24" s="458"/>
      <c r="CF24" s="40"/>
      <c r="CG24" s="54"/>
      <c r="CH24" s="458"/>
      <c r="CI24" s="40"/>
      <c r="CJ24" s="54"/>
      <c r="CK24" s="458"/>
      <c r="CL24" s="66"/>
      <c r="CY24" s="51"/>
      <c r="CZ24" s="325"/>
      <c r="DA24" s="54"/>
      <c r="DB24" s="327"/>
      <c r="DC24" s="325"/>
      <c r="DD24" s="54"/>
      <c r="DE24" s="327"/>
      <c r="DF24" s="40"/>
      <c r="DG24" s="54"/>
      <c r="DH24" s="51"/>
      <c r="DI24" s="40"/>
      <c r="DJ24" s="54"/>
      <c r="DK24" s="51"/>
      <c r="DL24" s="66"/>
      <c r="DY24" s="51"/>
      <c r="DZ24" s="325"/>
      <c r="EA24" s="54"/>
      <c r="EB24" s="51"/>
      <c r="EC24" s="325"/>
      <c r="ED24" s="54"/>
      <c r="EE24" s="51"/>
      <c r="EF24" s="325"/>
      <c r="EG24" s="54"/>
      <c r="EH24" s="51"/>
      <c r="EI24" s="325"/>
      <c r="EJ24" s="54"/>
      <c r="EK24" s="51"/>
      <c r="EL24" s="66"/>
      <c r="EY24" s="327"/>
      <c r="EZ24" s="455"/>
      <c r="FA24" s="54"/>
      <c r="FB24" s="327"/>
      <c r="FC24" s="325"/>
      <c r="FD24" s="54"/>
      <c r="FE24" s="327"/>
      <c r="FF24" s="40"/>
      <c r="FG24" s="277"/>
      <c r="FH24" s="327"/>
      <c r="FI24" s="40"/>
      <c r="FJ24" s="54"/>
      <c r="FK24" s="327"/>
      <c r="FL24" s="66"/>
      <c r="FY24" s="457"/>
      <c r="FZ24" s="325"/>
      <c r="GA24" s="73"/>
      <c r="GB24" s="457"/>
      <c r="GC24" s="325"/>
      <c r="GD24" s="73"/>
      <c r="GE24" s="457"/>
      <c r="GF24" s="40"/>
      <c r="GG24" s="73"/>
      <c r="GH24" s="457"/>
      <c r="GI24" s="40"/>
      <c r="GJ24" s="73"/>
      <c r="GK24" s="457"/>
      <c r="GL24" s="66"/>
    </row>
    <row r="25" spans="1:194" ht="15.75">
      <c r="B25" s="51"/>
      <c r="C25" s="455"/>
      <c r="D25" s="73"/>
      <c r="E25" s="350"/>
      <c r="F25" s="360"/>
      <c r="G25" s="73"/>
      <c r="H25" s="356"/>
      <c r="I25" s="68"/>
      <c r="K25" s="74" t="s">
        <v>107</v>
      </c>
      <c r="L25" s="327"/>
      <c r="M25" s="100"/>
      <c r="N25" s="75"/>
      <c r="O25" s="74" t="s">
        <v>107</v>
      </c>
      <c r="P25" s="52"/>
      <c r="Q25" s="64"/>
      <c r="Y25" s="747" t="s">
        <v>118</v>
      </c>
      <c r="Z25" s="753">
        <v>175</v>
      </c>
      <c r="AA25" s="311"/>
      <c r="AB25" s="747" t="s">
        <v>208</v>
      </c>
      <c r="AC25" s="753">
        <v>121</v>
      </c>
      <c r="AD25" s="311"/>
      <c r="AE25" s="745" t="s">
        <v>64</v>
      </c>
      <c r="AF25" s="756">
        <v>176</v>
      </c>
      <c r="AG25" s="311"/>
      <c r="AH25" s="747" t="s">
        <v>45</v>
      </c>
      <c r="AI25" s="758">
        <v>104</v>
      </c>
      <c r="AJ25" s="311"/>
      <c r="AK25" s="746" t="s">
        <v>66</v>
      </c>
      <c r="AL25" s="752">
        <v>722</v>
      </c>
      <c r="AY25" s="323"/>
      <c r="AZ25" s="325"/>
      <c r="BA25" s="54"/>
      <c r="BB25" s="327"/>
      <c r="BC25" s="325"/>
      <c r="BD25" s="54"/>
      <c r="BE25" s="327"/>
      <c r="BF25" s="40"/>
      <c r="BG25" s="54"/>
      <c r="BH25" s="327"/>
      <c r="BI25" s="40"/>
      <c r="BJ25" s="54"/>
      <c r="BK25" s="327"/>
      <c r="BL25" s="66"/>
      <c r="BY25" s="458"/>
      <c r="BZ25" s="325"/>
      <c r="CA25" s="54"/>
      <c r="CB25" s="458"/>
      <c r="CC25" s="40"/>
      <c r="CD25" s="54"/>
      <c r="CE25" s="458"/>
      <c r="CF25" s="40"/>
      <c r="CG25" s="54"/>
      <c r="CH25" s="458"/>
      <c r="CI25" s="40"/>
      <c r="CJ25" s="54"/>
      <c r="CK25" s="458"/>
      <c r="CL25" s="66"/>
      <c r="CY25" s="327"/>
      <c r="CZ25" s="325"/>
      <c r="DA25" s="54"/>
      <c r="DB25" s="51"/>
      <c r="DC25" s="325"/>
      <c r="DD25" s="54"/>
      <c r="DE25" s="327"/>
      <c r="DF25" s="40"/>
      <c r="DG25" s="54"/>
      <c r="DH25" s="327"/>
      <c r="DI25" s="40"/>
      <c r="DJ25" s="54"/>
      <c r="DK25" s="51"/>
      <c r="DL25" s="66"/>
      <c r="DY25" s="51"/>
      <c r="DZ25" s="325"/>
      <c r="EA25" s="54"/>
      <c r="EB25" s="51"/>
      <c r="EC25" s="325"/>
      <c r="ED25" s="54"/>
      <c r="EE25" s="51"/>
      <c r="EF25" s="325"/>
      <c r="EG25" s="54"/>
      <c r="EH25" s="51"/>
      <c r="EI25" s="325"/>
      <c r="EJ25" s="54"/>
      <c r="EK25" s="51"/>
      <c r="EL25" s="66"/>
      <c r="EY25" s="327"/>
      <c r="EZ25" s="455"/>
      <c r="FA25" s="54"/>
      <c r="FB25" s="327"/>
      <c r="FC25" s="325"/>
      <c r="FD25" s="54"/>
      <c r="FE25" s="51"/>
      <c r="FF25" s="40"/>
      <c r="FG25" s="277"/>
      <c r="FH25" s="327"/>
      <c r="FI25" s="40"/>
      <c r="FJ25" s="54"/>
      <c r="FK25" s="51"/>
      <c r="FL25" s="66"/>
      <c r="FY25" s="457"/>
      <c r="FZ25" s="325"/>
      <c r="GA25" s="73"/>
      <c r="GB25" s="457"/>
      <c r="GC25" s="325"/>
      <c r="GD25" s="73"/>
      <c r="GE25" s="457"/>
      <c r="GF25" s="40"/>
      <c r="GG25" s="73"/>
      <c r="GH25" s="457"/>
      <c r="GI25" s="40"/>
      <c r="GJ25" s="73"/>
      <c r="GK25" s="457"/>
      <c r="GL25" s="66"/>
    </row>
    <row r="26" spans="1:194" ht="15.75">
      <c r="B26" s="457"/>
      <c r="C26" s="325"/>
      <c r="D26" s="73"/>
      <c r="E26" s="352"/>
      <c r="F26" s="289"/>
      <c r="G26" s="73"/>
      <c r="H26" s="364"/>
      <c r="I26" s="368"/>
      <c r="K26" s="74" t="s">
        <v>108</v>
      </c>
      <c r="L26" s="100"/>
      <c r="M26" s="100"/>
      <c r="N26" s="75"/>
      <c r="O26" s="74" t="s">
        <v>108</v>
      </c>
      <c r="P26" s="51"/>
      <c r="Q26" s="66"/>
      <c r="Y26" s="743" t="s">
        <v>69</v>
      </c>
      <c r="Z26" s="749">
        <v>174</v>
      </c>
      <c r="AA26" s="311"/>
      <c r="AB26" s="743" t="s">
        <v>36</v>
      </c>
      <c r="AC26" s="749">
        <v>119</v>
      </c>
      <c r="AD26" s="311"/>
      <c r="AE26" s="747" t="s">
        <v>206</v>
      </c>
      <c r="AF26" s="758">
        <v>176</v>
      </c>
      <c r="AG26" s="311"/>
      <c r="AH26" s="747" t="s">
        <v>75</v>
      </c>
      <c r="AI26" s="758">
        <v>104</v>
      </c>
      <c r="AJ26" s="311"/>
      <c r="AK26" s="743" t="s">
        <v>9</v>
      </c>
      <c r="AL26" s="749">
        <v>721</v>
      </c>
      <c r="AY26" s="323"/>
      <c r="AZ26" s="325"/>
      <c r="BA26" s="54"/>
      <c r="BB26" s="327"/>
      <c r="BC26" s="325"/>
      <c r="BD26" s="54"/>
      <c r="BE26" s="327"/>
      <c r="BF26" s="40"/>
      <c r="BG26" s="54"/>
      <c r="BH26" s="327"/>
      <c r="BI26" s="40"/>
      <c r="BJ26" s="54"/>
      <c r="BK26" s="327"/>
      <c r="BL26" s="66"/>
      <c r="BY26" s="458"/>
      <c r="BZ26" s="325"/>
      <c r="CA26" s="54"/>
      <c r="CB26" s="458"/>
      <c r="CC26" s="40"/>
      <c r="CD26" s="54"/>
      <c r="CE26" s="458"/>
      <c r="CF26" s="40"/>
      <c r="CG26" s="54"/>
      <c r="CH26" s="458"/>
      <c r="CI26" s="40"/>
      <c r="CJ26" s="54"/>
      <c r="CK26" s="458"/>
      <c r="CL26" s="66"/>
      <c r="CY26" s="327"/>
      <c r="CZ26" s="325"/>
      <c r="DA26" s="54"/>
      <c r="DB26" s="51"/>
      <c r="DC26" s="325"/>
      <c r="DD26" s="54"/>
      <c r="DE26" s="51"/>
      <c r="DF26" s="40"/>
      <c r="DG26" s="54"/>
      <c r="DH26" s="327"/>
      <c r="DI26" s="40"/>
      <c r="DJ26" s="54"/>
      <c r="DK26" s="327"/>
      <c r="DL26" s="66"/>
      <c r="DY26" s="51"/>
      <c r="DZ26" s="325"/>
      <c r="EA26" s="54"/>
      <c r="EB26" s="51"/>
      <c r="EC26" s="325"/>
      <c r="ED26" s="54"/>
      <c r="EE26" s="51"/>
      <c r="EF26" s="325"/>
      <c r="EG26" s="54"/>
      <c r="EH26" s="51"/>
      <c r="EI26" s="325"/>
      <c r="EJ26" s="54"/>
      <c r="EK26" s="51"/>
      <c r="EL26" s="66"/>
      <c r="EY26" s="51"/>
      <c r="EZ26" s="455"/>
      <c r="FA26" s="54"/>
      <c r="FB26" s="327"/>
      <c r="FC26" s="325"/>
      <c r="FD26" s="54"/>
      <c r="FE26" s="51"/>
      <c r="FF26" s="40"/>
      <c r="FG26" s="277"/>
      <c r="FH26" s="327"/>
      <c r="FI26" s="40"/>
      <c r="FJ26" s="54"/>
      <c r="FK26" s="51"/>
      <c r="FL26" s="66"/>
      <c r="FY26" s="457"/>
      <c r="FZ26" s="325"/>
      <c r="GA26" s="73"/>
      <c r="GB26" s="457"/>
      <c r="GC26" s="325"/>
      <c r="GD26" s="73"/>
      <c r="GE26" s="457"/>
      <c r="GF26" s="40"/>
      <c r="GG26" s="73"/>
      <c r="GH26" s="457"/>
      <c r="GI26" s="40"/>
      <c r="GJ26" s="73"/>
      <c r="GK26" s="457"/>
      <c r="GL26" s="66"/>
    </row>
    <row r="27" spans="1:194" ht="15.75">
      <c r="B27" s="329"/>
      <c r="C27" s="325"/>
      <c r="D27" s="73"/>
      <c r="E27" s="355"/>
      <c r="F27" s="289"/>
      <c r="G27" s="73"/>
      <c r="H27" s="359"/>
      <c r="I27" s="346"/>
      <c r="K27" s="74" t="s">
        <v>109</v>
      </c>
      <c r="L27" s="100"/>
      <c r="M27" s="100"/>
      <c r="N27" s="75"/>
      <c r="O27" s="74" t="s">
        <v>109</v>
      </c>
      <c r="P27" s="327"/>
      <c r="Q27" s="66"/>
      <c r="Y27" s="743" t="s">
        <v>36</v>
      </c>
      <c r="Z27" s="749">
        <v>173</v>
      </c>
      <c r="AA27" s="311"/>
      <c r="AB27" s="743" t="s">
        <v>80</v>
      </c>
      <c r="AC27" s="749">
        <v>119</v>
      </c>
      <c r="AD27" s="311"/>
      <c r="AE27" s="745" t="s">
        <v>97</v>
      </c>
      <c r="AF27" s="756">
        <v>176</v>
      </c>
      <c r="AG27" s="311"/>
      <c r="AH27" s="745" t="s">
        <v>216</v>
      </c>
      <c r="AI27" s="756">
        <v>104</v>
      </c>
      <c r="AJ27" s="311"/>
      <c r="AK27" s="747" t="s">
        <v>33</v>
      </c>
      <c r="AL27" s="753">
        <v>721</v>
      </c>
      <c r="AY27" s="323"/>
      <c r="AZ27" s="325"/>
      <c r="BA27" s="54"/>
      <c r="BB27" s="327"/>
      <c r="BC27" s="325"/>
      <c r="BD27" s="54"/>
      <c r="BE27" s="327"/>
      <c r="BF27" s="40"/>
      <c r="BG27" s="54"/>
      <c r="BH27" s="327"/>
      <c r="BI27" s="40"/>
      <c r="BJ27" s="54"/>
      <c r="BK27" s="327"/>
      <c r="BL27" s="66"/>
      <c r="BY27" s="458"/>
      <c r="BZ27" s="325"/>
      <c r="CA27" s="54"/>
      <c r="CB27" s="458"/>
      <c r="CC27" s="40"/>
      <c r="CD27" s="54"/>
      <c r="CE27" s="458"/>
      <c r="CF27" s="40"/>
      <c r="CG27" s="54"/>
      <c r="CH27" s="458"/>
      <c r="CI27" s="40"/>
      <c r="CJ27" s="54"/>
      <c r="CK27" s="458"/>
      <c r="CL27" s="66"/>
      <c r="CY27" s="327"/>
      <c r="CZ27" s="325"/>
      <c r="DA27" s="54"/>
      <c r="DB27" s="51"/>
      <c r="DC27" s="325"/>
      <c r="DD27" s="54"/>
      <c r="DE27" s="51"/>
      <c r="DF27" s="40"/>
      <c r="DG27" s="54"/>
      <c r="DH27" s="327"/>
      <c r="DI27" s="40"/>
      <c r="DJ27" s="54"/>
      <c r="DK27" s="51"/>
      <c r="DL27" s="66"/>
      <c r="DY27" s="51"/>
      <c r="DZ27" s="325"/>
      <c r="EA27" s="54"/>
      <c r="EB27" s="51"/>
      <c r="EC27" s="325"/>
      <c r="ED27" s="54"/>
      <c r="EE27" s="51"/>
      <c r="EF27" s="325"/>
      <c r="EG27" s="54"/>
      <c r="EH27" s="51"/>
      <c r="EI27" s="325"/>
      <c r="EJ27" s="54"/>
      <c r="EK27" s="51"/>
      <c r="EL27" s="66"/>
      <c r="EY27" s="327"/>
      <c r="EZ27" s="455"/>
      <c r="FA27" s="54"/>
      <c r="FB27" s="51"/>
      <c r="FC27" s="325"/>
      <c r="FD27" s="54"/>
      <c r="FE27" s="51"/>
      <c r="FF27" s="40"/>
      <c r="FG27" s="277"/>
      <c r="FH27" s="51"/>
      <c r="FI27" s="40"/>
      <c r="FJ27" s="54"/>
      <c r="FK27" s="327"/>
      <c r="FL27" s="66"/>
      <c r="FY27" s="457"/>
      <c r="FZ27" s="325"/>
      <c r="GA27" s="73"/>
      <c r="GB27" s="457"/>
      <c r="GC27" s="325"/>
      <c r="GD27" s="73"/>
      <c r="GE27" s="457"/>
      <c r="GF27" s="40"/>
      <c r="GG27" s="73"/>
      <c r="GH27" s="457"/>
      <c r="GI27" s="40"/>
      <c r="GJ27" s="73"/>
      <c r="GK27" s="457"/>
      <c r="GL27" s="66"/>
    </row>
    <row r="28" spans="1:194" ht="15.75">
      <c r="A28" s="76"/>
      <c r="B28" s="326"/>
      <c r="C28" s="69"/>
      <c r="D28" s="85"/>
      <c r="E28" s="354"/>
      <c r="F28" s="102"/>
      <c r="G28" s="77"/>
      <c r="H28" s="350"/>
      <c r="I28" s="65"/>
      <c r="K28" s="778" t="s">
        <v>163</v>
      </c>
      <c r="L28" s="778"/>
      <c r="M28" s="778"/>
      <c r="N28" s="778"/>
      <c r="O28" s="778"/>
      <c r="P28" s="778"/>
      <c r="Q28" s="460" t="s">
        <v>115</v>
      </c>
      <c r="Y28" s="745" t="s">
        <v>215</v>
      </c>
      <c r="Z28" s="751">
        <v>171</v>
      </c>
      <c r="AA28" s="311"/>
      <c r="AB28" s="745" t="s">
        <v>101</v>
      </c>
      <c r="AC28" s="751">
        <v>119</v>
      </c>
      <c r="AD28" s="312"/>
      <c r="AE28" s="746" t="s">
        <v>112</v>
      </c>
      <c r="AF28" s="757">
        <v>176</v>
      </c>
      <c r="AG28" s="314"/>
      <c r="AH28" s="744" t="s">
        <v>72</v>
      </c>
      <c r="AI28" s="755">
        <v>105</v>
      </c>
      <c r="AJ28" s="314"/>
      <c r="AK28" s="743" t="s">
        <v>79</v>
      </c>
      <c r="AL28" s="749">
        <v>716</v>
      </c>
      <c r="AY28" s="323"/>
      <c r="AZ28" s="325"/>
      <c r="BA28" s="54"/>
      <c r="BB28" s="327"/>
      <c r="BC28" s="325"/>
      <c r="BD28" s="55"/>
      <c r="BE28" s="327"/>
      <c r="BF28" s="40"/>
      <c r="BG28" s="56"/>
      <c r="BH28" s="327"/>
      <c r="BI28" s="40"/>
      <c r="BJ28" s="56"/>
      <c r="BK28" s="327"/>
      <c r="BL28" s="66"/>
      <c r="BY28" s="458"/>
      <c r="BZ28" s="325"/>
      <c r="CA28" s="54"/>
      <c r="CB28" s="458"/>
      <c r="CC28" s="40"/>
      <c r="CD28" s="290"/>
      <c r="CE28" s="458"/>
      <c r="CF28" s="40"/>
      <c r="CG28" s="55"/>
      <c r="CH28" s="458"/>
      <c r="CI28" s="40"/>
      <c r="CJ28" s="56"/>
      <c r="CK28" s="458"/>
      <c r="CL28" s="66"/>
      <c r="CY28" s="51"/>
      <c r="CZ28" s="325"/>
      <c r="DA28" s="54"/>
      <c r="DB28" s="327"/>
      <c r="DC28" s="325"/>
      <c r="DD28" s="290"/>
      <c r="DE28" s="51"/>
      <c r="DF28" s="40"/>
      <c r="DG28" s="290"/>
      <c r="DH28" s="51"/>
      <c r="DI28" s="40"/>
      <c r="DJ28" s="290"/>
      <c r="DK28" s="327"/>
      <c r="DL28" s="66"/>
      <c r="DY28" s="51"/>
      <c r="DZ28" s="325"/>
      <c r="EA28" s="54"/>
      <c r="EB28" s="51"/>
      <c r="EC28" s="325"/>
      <c r="ED28" s="290"/>
      <c r="EE28" s="51"/>
      <c r="EF28" s="325"/>
      <c r="EG28" s="290"/>
      <c r="EH28" s="51"/>
      <c r="EI28" s="325"/>
      <c r="EJ28" s="290"/>
      <c r="EK28" s="51"/>
      <c r="EL28" s="66"/>
      <c r="EY28" s="327"/>
      <c r="EZ28" s="455"/>
      <c r="FA28" s="54"/>
      <c r="FB28" s="51"/>
      <c r="FC28" s="325"/>
      <c r="FD28" s="55"/>
      <c r="FE28" s="51"/>
      <c r="FF28" s="40"/>
      <c r="FG28" s="279"/>
      <c r="FH28" s="327"/>
      <c r="FI28" s="40"/>
      <c r="FJ28" s="56"/>
      <c r="FK28" s="327"/>
      <c r="FL28" s="66"/>
      <c r="FY28" s="457"/>
      <c r="FZ28" s="325"/>
      <c r="GA28" s="464"/>
      <c r="GB28" s="457"/>
      <c r="GC28" s="325"/>
      <c r="GD28" s="464"/>
      <c r="GE28" s="457"/>
      <c r="GF28" s="40"/>
      <c r="GG28" s="464"/>
      <c r="GH28" s="457"/>
      <c r="GI28" s="40"/>
      <c r="GJ28" s="464"/>
      <c r="GK28" s="457"/>
      <c r="GL28" s="66"/>
    </row>
    <row r="29" spans="1:194" ht="15.75">
      <c r="K29" s="74" t="s">
        <v>107</v>
      </c>
      <c r="L29" s="100"/>
      <c r="M29" s="100"/>
      <c r="N29" s="75"/>
      <c r="O29" s="74" t="s">
        <v>107</v>
      </c>
      <c r="P29" s="459"/>
      <c r="Q29" s="66"/>
      <c r="Y29" s="746" t="s">
        <v>218</v>
      </c>
      <c r="Z29" s="752">
        <v>170</v>
      </c>
      <c r="AA29" s="311"/>
      <c r="AB29" s="747" t="s">
        <v>18</v>
      </c>
      <c r="AC29" s="753">
        <v>119</v>
      </c>
      <c r="AD29" s="311"/>
      <c r="AY29" s="323"/>
      <c r="AZ29" s="325"/>
      <c r="BA29" s="54"/>
      <c r="BB29" s="327"/>
      <c r="BC29" s="325"/>
      <c r="BD29" s="54"/>
      <c r="BE29" s="73"/>
      <c r="BF29" s="73"/>
      <c r="BG29" s="54"/>
      <c r="BH29" s="73"/>
      <c r="BI29" s="73"/>
      <c r="BJ29" s="54"/>
      <c r="BK29" s="54"/>
      <c r="BL29" s="54"/>
      <c r="BY29" s="458"/>
      <c r="BZ29" s="325"/>
      <c r="CA29" s="54"/>
      <c r="CB29" s="458"/>
      <c r="CC29" s="40"/>
      <c r="CD29" s="54"/>
      <c r="CE29" s="73"/>
      <c r="CF29" s="73"/>
      <c r="CG29" s="54"/>
      <c r="CH29" s="73"/>
      <c r="CI29" s="73"/>
      <c r="CJ29" s="73"/>
      <c r="CK29" s="54"/>
      <c r="CL29" s="462"/>
      <c r="CY29" s="51"/>
      <c r="CZ29" s="325"/>
      <c r="DA29" s="54"/>
      <c r="DB29" s="327"/>
      <c r="DC29" s="325"/>
      <c r="DD29" s="54"/>
      <c r="DE29" s="73"/>
      <c r="DF29" s="73"/>
      <c r="DG29" s="54"/>
      <c r="DH29" s="73"/>
      <c r="DI29" s="73"/>
      <c r="DJ29" s="54"/>
      <c r="DK29" s="73"/>
      <c r="DL29" s="73"/>
      <c r="DY29" s="51"/>
      <c r="DZ29" s="325"/>
      <c r="EA29" s="54"/>
      <c r="EB29" s="51"/>
      <c r="EC29" s="325"/>
      <c r="ED29" s="54"/>
      <c r="EE29" s="73"/>
      <c r="EF29" s="73"/>
      <c r="EG29" s="73"/>
      <c r="EH29" s="73"/>
      <c r="EI29" s="73"/>
      <c r="EJ29" s="54"/>
      <c r="EK29" s="73"/>
      <c r="EL29" s="73"/>
      <c r="EY29" s="327"/>
      <c r="EZ29" s="455"/>
      <c r="FA29" s="54"/>
      <c r="FB29" s="51"/>
      <c r="FC29" s="325"/>
      <c r="FD29" s="54"/>
      <c r="FE29" s="73"/>
      <c r="FF29" s="73"/>
      <c r="FG29" s="73"/>
      <c r="FH29" s="73"/>
      <c r="FI29" s="73"/>
      <c r="FJ29" s="54"/>
      <c r="FK29" s="73"/>
      <c r="FL29" s="73"/>
      <c r="FY29" s="457"/>
      <c r="FZ29" s="325"/>
      <c r="GA29" s="73"/>
      <c r="GB29" s="457"/>
      <c r="GC29" s="325"/>
      <c r="GD29" s="73"/>
      <c r="GE29" s="457"/>
      <c r="GF29" s="40"/>
      <c r="GG29" s="73"/>
      <c r="GH29" s="73"/>
      <c r="GI29" s="73"/>
      <c r="GJ29" s="73"/>
      <c r="GK29" s="73"/>
      <c r="GL29" s="73"/>
    </row>
    <row r="30" spans="1:194" ht="15.75">
      <c r="K30" s="74" t="s">
        <v>108</v>
      </c>
      <c r="L30" s="100"/>
      <c r="M30" s="100"/>
      <c r="N30" s="75"/>
      <c r="O30" s="74" t="s">
        <v>108</v>
      </c>
      <c r="P30" s="51"/>
      <c r="Q30" s="66"/>
      <c r="Y30" s="743" t="s">
        <v>9</v>
      </c>
      <c r="Z30" s="749">
        <v>169</v>
      </c>
      <c r="AA30" s="311"/>
      <c r="AB30" s="743" t="s">
        <v>79</v>
      </c>
      <c r="AC30" s="749">
        <v>118</v>
      </c>
      <c r="AD30" s="311"/>
      <c r="AY30" s="323"/>
      <c r="AZ30" s="325"/>
      <c r="BA30" s="54"/>
      <c r="BB30" s="327"/>
      <c r="BC30" s="325"/>
      <c r="BD30" s="54"/>
      <c r="BE30" s="73"/>
      <c r="BF30" s="73"/>
      <c r="BG30" s="54"/>
      <c r="BH30" s="73"/>
      <c r="BI30" s="73"/>
      <c r="BJ30" s="54"/>
      <c r="BK30" s="54"/>
      <c r="BL30" s="54"/>
      <c r="BY30" s="458"/>
      <c r="BZ30" s="325"/>
      <c r="CA30" s="54"/>
      <c r="CB30" s="458"/>
      <c r="CC30" s="40"/>
      <c r="CD30" s="54"/>
      <c r="CE30" s="73"/>
      <c r="CF30" s="73"/>
      <c r="CG30" s="54"/>
      <c r="CH30" s="73"/>
      <c r="CI30" s="73"/>
      <c r="CJ30" s="73"/>
      <c r="CK30" s="54"/>
      <c r="CL30" s="462"/>
      <c r="CY30" s="327"/>
      <c r="CZ30" s="325"/>
      <c r="DA30" s="54"/>
      <c r="DB30" s="327"/>
      <c r="DC30" s="325"/>
      <c r="DD30" s="54"/>
      <c r="DE30" s="73"/>
      <c r="DF30" s="73"/>
      <c r="DG30" s="73"/>
      <c r="DH30" s="73"/>
      <c r="DI30" s="73"/>
      <c r="DJ30" s="54"/>
      <c r="DK30" s="73"/>
      <c r="DL30" s="73"/>
      <c r="DY30" s="51"/>
      <c r="DZ30" s="325"/>
      <c r="EA30" s="54"/>
      <c r="EB30" s="51"/>
      <c r="EC30" s="325"/>
      <c r="ED30" s="54"/>
      <c r="EE30" s="73"/>
      <c r="EF30" s="73"/>
      <c r="EG30" s="73"/>
      <c r="EH30" s="73"/>
      <c r="EI30" s="73"/>
      <c r="EJ30" s="73"/>
      <c r="EK30" s="73"/>
      <c r="EL30" s="73"/>
      <c r="EY30" s="327"/>
      <c r="EZ30" s="455"/>
      <c r="FA30" s="54"/>
      <c r="FB30" s="51"/>
      <c r="FC30" s="325"/>
      <c r="FD30" s="54"/>
      <c r="FE30" s="73"/>
      <c r="FF30" s="73"/>
      <c r="FG30" s="73"/>
      <c r="FH30" s="73"/>
      <c r="FI30" s="73"/>
      <c r="FJ30" s="73"/>
      <c r="FK30" s="73"/>
      <c r="FL30" s="73"/>
      <c r="FY30" s="457"/>
      <c r="FZ30" s="325"/>
      <c r="GA30" s="73"/>
      <c r="GB30" s="457"/>
      <c r="GC30" s="325"/>
      <c r="GD30" s="73"/>
      <c r="GE30" s="457"/>
      <c r="GF30" s="40"/>
      <c r="GG30" s="73"/>
      <c r="GH30" s="73"/>
      <c r="GI30" s="73"/>
      <c r="GJ30" s="73"/>
      <c r="GK30" s="73"/>
      <c r="GL30" s="73"/>
    </row>
    <row r="31" spans="1:194" ht="15.75">
      <c r="K31" s="74" t="s">
        <v>109</v>
      </c>
      <c r="L31" s="100"/>
      <c r="M31" s="100"/>
      <c r="N31" s="75"/>
      <c r="O31" s="74" t="s">
        <v>109</v>
      </c>
      <c r="P31" s="457"/>
      <c r="Q31" s="66"/>
      <c r="Y31" s="747" t="s">
        <v>33</v>
      </c>
      <c r="Z31" s="753">
        <v>169</v>
      </c>
      <c r="AA31" s="311"/>
      <c r="AB31" s="747" t="s">
        <v>144</v>
      </c>
      <c r="AC31" s="753">
        <v>116</v>
      </c>
      <c r="AD31" s="311"/>
      <c r="AY31" s="323"/>
      <c r="AZ31" s="325"/>
      <c r="BA31" s="54"/>
      <c r="BB31" s="327"/>
      <c r="BC31" s="325"/>
      <c r="BD31" s="54"/>
      <c r="BE31" s="73"/>
      <c r="BF31" s="73"/>
      <c r="BG31" s="54"/>
      <c r="BH31" s="73"/>
      <c r="BI31" s="73"/>
      <c r="BJ31" s="54"/>
      <c r="BK31" s="54"/>
      <c r="BL31" s="54"/>
      <c r="BY31" s="458"/>
      <c r="BZ31" s="325"/>
      <c r="CA31" s="54"/>
      <c r="CB31" s="458"/>
      <c r="CC31" s="40"/>
      <c r="CD31" s="54"/>
      <c r="CE31" s="73"/>
      <c r="CF31" s="73"/>
      <c r="CG31" s="54"/>
      <c r="CH31" s="73"/>
      <c r="CI31" s="73"/>
      <c r="CJ31" s="73"/>
      <c r="CK31" s="54"/>
      <c r="CL31" s="462"/>
      <c r="CY31" s="327"/>
      <c r="CZ31" s="325"/>
      <c r="DA31" s="54"/>
      <c r="DB31" s="327"/>
      <c r="DC31" s="325"/>
      <c r="DD31" s="54"/>
      <c r="DE31" s="73"/>
      <c r="DF31" s="73"/>
      <c r="DG31" s="73"/>
      <c r="DH31" s="73"/>
      <c r="DI31" s="73"/>
      <c r="DJ31" s="54"/>
      <c r="DK31" s="73"/>
      <c r="DL31" s="73"/>
      <c r="DY31" s="51"/>
      <c r="DZ31" s="325"/>
      <c r="EA31" s="54"/>
      <c r="EB31" s="51"/>
      <c r="EC31" s="325"/>
      <c r="ED31" s="54"/>
      <c r="EE31" s="73"/>
      <c r="EF31" s="73"/>
      <c r="EG31" s="73"/>
      <c r="EH31" s="73"/>
      <c r="EI31" s="73"/>
      <c r="EJ31" s="73"/>
      <c r="EK31" s="73"/>
      <c r="EL31" s="73"/>
      <c r="EY31" s="327"/>
      <c r="EZ31" s="455"/>
      <c r="FA31" s="54"/>
      <c r="FB31" s="51"/>
      <c r="FC31" s="325"/>
      <c r="FD31" s="54"/>
      <c r="FE31" s="73"/>
      <c r="FF31" s="73"/>
      <c r="FG31" s="73"/>
      <c r="FH31" s="73"/>
      <c r="FI31" s="73"/>
      <c r="FJ31" s="73"/>
      <c r="FK31" s="73"/>
      <c r="FL31" s="73"/>
      <c r="FY31" s="457"/>
      <c r="FZ31" s="325"/>
      <c r="GA31" s="73"/>
      <c r="GB31" s="457"/>
      <c r="GC31" s="325"/>
      <c r="GD31" s="73"/>
      <c r="GE31" s="73"/>
      <c r="GF31" s="73"/>
      <c r="GG31" s="73"/>
      <c r="GH31" s="73"/>
      <c r="GI31" s="73"/>
      <c r="GJ31" s="73"/>
      <c r="GK31" s="73"/>
      <c r="GL31" s="73"/>
    </row>
    <row r="32" spans="1:194" ht="15.75">
      <c r="Y32" s="743" t="s">
        <v>96</v>
      </c>
      <c r="Z32" s="749">
        <v>168</v>
      </c>
      <c r="AA32" s="311"/>
      <c r="AB32" s="744" t="s">
        <v>140</v>
      </c>
      <c r="AC32" s="750">
        <v>115</v>
      </c>
      <c r="AD32" s="311"/>
      <c r="AY32" s="323"/>
      <c r="AZ32" s="325"/>
      <c r="BA32" s="54"/>
      <c r="BB32" s="327"/>
      <c r="BC32" s="325"/>
      <c r="BD32" s="54"/>
      <c r="BE32" s="73"/>
      <c r="BF32" s="73"/>
      <c r="BG32" s="54"/>
      <c r="BH32" s="73"/>
      <c r="BI32" s="73"/>
      <c r="BJ32" s="54"/>
      <c r="BK32" s="54"/>
      <c r="BL32" s="54"/>
      <c r="BY32" s="458"/>
      <c r="BZ32" s="325"/>
      <c r="CA32" s="54"/>
      <c r="CB32" s="458"/>
      <c r="CC32" s="40"/>
      <c r="CD32" s="54"/>
      <c r="CE32" s="73"/>
      <c r="CF32" s="73"/>
      <c r="CG32" s="54"/>
      <c r="CH32" s="73"/>
      <c r="CI32" s="73"/>
      <c r="CJ32" s="73"/>
      <c r="CK32" s="54"/>
      <c r="CL32" s="462"/>
      <c r="CY32" s="51"/>
      <c r="CZ32" s="325"/>
      <c r="DA32" s="54"/>
      <c r="DB32" s="327"/>
      <c r="DC32" s="325"/>
      <c r="DD32" s="54"/>
      <c r="DE32" s="73"/>
      <c r="DF32" s="73"/>
      <c r="DG32" s="73"/>
      <c r="DH32" s="73"/>
      <c r="DI32" s="73"/>
      <c r="DJ32" s="54"/>
      <c r="DK32" s="73"/>
      <c r="DL32" s="73"/>
      <c r="DY32" s="51"/>
      <c r="DZ32" s="325"/>
      <c r="EA32" s="54"/>
      <c r="EB32" s="51"/>
      <c r="EC32" s="325"/>
      <c r="ED32" s="54"/>
      <c r="EE32" s="73"/>
      <c r="EF32" s="73"/>
      <c r="EG32" s="73"/>
      <c r="EH32" s="73"/>
      <c r="EI32" s="73"/>
      <c r="EJ32" s="73"/>
      <c r="EK32" s="73"/>
      <c r="EL32" s="73"/>
      <c r="EY32" s="327"/>
      <c r="EZ32" s="455"/>
      <c r="FA32" s="54"/>
      <c r="FB32" s="327"/>
      <c r="FC32" s="325"/>
      <c r="FD32" s="54"/>
      <c r="FE32" s="73"/>
      <c r="FF32" s="73"/>
      <c r="FG32" s="73"/>
      <c r="FH32" s="73"/>
      <c r="FI32" s="73"/>
      <c r="FJ32" s="73"/>
      <c r="FK32" s="73"/>
      <c r="FL32" s="73"/>
      <c r="FY32" s="457"/>
      <c r="FZ32" s="325"/>
      <c r="GA32" s="73"/>
      <c r="GB32" s="457"/>
      <c r="GC32" s="325"/>
      <c r="GD32" s="73"/>
      <c r="GE32" s="73"/>
      <c r="GF32" s="73"/>
      <c r="GG32" s="73"/>
      <c r="GH32" s="73"/>
      <c r="GI32" s="73"/>
      <c r="GJ32" s="73"/>
      <c r="GK32" s="73"/>
      <c r="GL32" s="73"/>
    </row>
    <row r="33" spans="25:194" ht="15.75">
      <c r="Y33" s="744" t="s">
        <v>14</v>
      </c>
      <c r="Z33" s="750">
        <v>168</v>
      </c>
      <c r="AA33" s="312"/>
      <c r="AB33" s="744" t="s">
        <v>94</v>
      </c>
      <c r="AC33" s="750">
        <v>115</v>
      </c>
      <c r="AD33" s="311"/>
      <c r="AY33" s="323"/>
      <c r="AZ33" s="325"/>
      <c r="BA33" s="55"/>
      <c r="BB33" s="327"/>
      <c r="BC33" s="325"/>
      <c r="BD33" s="54"/>
      <c r="BE33" s="73"/>
      <c r="BF33" s="73"/>
      <c r="BG33" s="54"/>
      <c r="BH33" s="73"/>
      <c r="BI33" s="73"/>
      <c r="BJ33" s="54"/>
      <c r="BK33" s="54"/>
      <c r="BL33" s="54"/>
      <c r="BY33" s="458"/>
      <c r="BZ33" s="325"/>
      <c r="CA33" s="55"/>
      <c r="CB33" s="458"/>
      <c r="CC33" s="40"/>
      <c r="CD33" s="54"/>
      <c r="CE33" s="73"/>
      <c r="CF33" s="73"/>
      <c r="CG33" s="54"/>
      <c r="CH33" s="73"/>
      <c r="CI33" s="73"/>
      <c r="CJ33" s="73"/>
      <c r="CK33" s="54"/>
      <c r="CL33" s="462"/>
      <c r="CY33" s="327"/>
      <c r="CZ33" s="325"/>
      <c r="DA33" s="290"/>
      <c r="DB33" s="51"/>
      <c r="DC33" s="325"/>
      <c r="DD33" s="54"/>
      <c r="DE33" s="73"/>
      <c r="DF33" s="73"/>
      <c r="DG33" s="73"/>
      <c r="DH33" s="73"/>
      <c r="DI33" s="73"/>
      <c r="DJ33" s="54"/>
      <c r="DK33" s="73"/>
      <c r="DL33" s="73"/>
      <c r="DY33" s="51"/>
      <c r="DZ33" s="325"/>
      <c r="EA33" s="290"/>
      <c r="EB33" s="51"/>
      <c r="EC33" s="325"/>
      <c r="ED33" s="54"/>
      <c r="EE33" s="73"/>
      <c r="EF33" s="73"/>
      <c r="EG33" s="73"/>
      <c r="EH33" s="73"/>
      <c r="EI33" s="73"/>
      <c r="EJ33" s="73"/>
      <c r="EK33" s="73"/>
      <c r="EL33" s="73"/>
      <c r="EY33" s="327"/>
      <c r="EZ33" s="455"/>
      <c r="FA33" s="55"/>
      <c r="FB33" s="327"/>
      <c r="FC33" s="325"/>
      <c r="FD33" s="54"/>
      <c r="FE33" s="73"/>
      <c r="FF33" s="73"/>
      <c r="FG33" s="73"/>
      <c r="FH33" s="73"/>
      <c r="FI33" s="73"/>
      <c r="FJ33" s="73"/>
      <c r="FK33" s="73"/>
      <c r="FL33" s="73"/>
      <c r="FY33" s="457"/>
      <c r="FZ33" s="325"/>
      <c r="GA33" s="73"/>
      <c r="GB33" s="457"/>
      <c r="GC33" s="325"/>
      <c r="GD33" s="73"/>
      <c r="GE33" s="73"/>
      <c r="GF33" s="73"/>
      <c r="GG33" s="73"/>
      <c r="GH33" s="73"/>
      <c r="GI33" s="73"/>
      <c r="GJ33" s="73"/>
      <c r="GK33" s="73"/>
      <c r="GL33" s="73"/>
    </row>
    <row r="34" spans="25:194" ht="15.75">
      <c r="Y34" s="747" t="s">
        <v>75</v>
      </c>
      <c r="Z34" s="753">
        <v>167</v>
      </c>
      <c r="AA34" s="311"/>
      <c r="AB34" s="745" t="s">
        <v>64</v>
      </c>
      <c r="AC34" s="751">
        <v>115</v>
      </c>
      <c r="AD34" s="311"/>
      <c r="AY34" s="323"/>
      <c r="AZ34" s="325"/>
      <c r="BA34" s="54"/>
      <c r="BB34" s="327"/>
      <c r="BC34" s="325"/>
      <c r="BD34" s="54"/>
      <c r="BE34" s="73"/>
      <c r="BF34" s="73"/>
      <c r="BG34" s="54"/>
      <c r="BH34" s="73"/>
      <c r="BI34" s="73"/>
      <c r="BJ34" s="54"/>
      <c r="BK34" s="73"/>
      <c r="BL34" s="73"/>
      <c r="BY34" s="458"/>
      <c r="BZ34" s="325"/>
      <c r="CA34" s="54"/>
      <c r="CB34" s="458"/>
      <c r="CC34" s="40"/>
      <c r="CD34" s="54"/>
      <c r="CE34" s="73"/>
      <c r="CF34" s="73"/>
      <c r="CG34" s="54"/>
      <c r="CH34" s="73"/>
      <c r="CI34" s="73"/>
      <c r="CJ34" s="73"/>
      <c r="CK34" s="73"/>
      <c r="CL34" s="73"/>
      <c r="CY34" s="327"/>
      <c r="CZ34" s="325"/>
      <c r="DA34" s="54"/>
      <c r="DB34" s="327"/>
      <c r="DC34" s="325"/>
      <c r="DD34" s="54"/>
      <c r="DE34" s="73"/>
      <c r="DF34" s="73"/>
      <c r="DG34" s="73"/>
      <c r="DH34" s="73"/>
      <c r="DI34" s="73"/>
      <c r="DJ34" s="54"/>
      <c r="DK34" s="73"/>
      <c r="DL34" s="73"/>
      <c r="DY34" s="51"/>
      <c r="DZ34" s="325"/>
      <c r="EA34" s="54"/>
      <c r="EB34" s="51"/>
      <c r="EC34" s="325"/>
      <c r="ED34" s="54"/>
      <c r="EE34" s="73"/>
      <c r="EF34" s="73"/>
      <c r="EG34" s="73"/>
      <c r="EH34" s="73"/>
      <c r="EI34" s="73"/>
      <c r="EJ34" s="73"/>
      <c r="EK34" s="73"/>
      <c r="EL34" s="73"/>
      <c r="EY34" s="327"/>
      <c r="EZ34" s="455"/>
      <c r="FA34" s="54"/>
      <c r="FB34" s="51"/>
      <c r="FC34" s="325"/>
      <c r="FD34" s="54"/>
      <c r="FE34" s="73"/>
      <c r="FF34" s="73"/>
      <c r="FG34" s="73"/>
      <c r="FH34" s="73"/>
      <c r="FI34" s="73"/>
      <c r="FJ34" s="73"/>
      <c r="FK34" s="73"/>
      <c r="FL34" s="73"/>
      <c r="FY34" s="457"/>
      <c r="FZ34" s="325"/>
      <c r="GA34" s="73"/>
      <c r="GB34" s="457"/>
      <c r="GC34" s="325"/>
      <c r="GD34" s="73"/>
      <c r="GE34" s="73"/>
      <c r="GF34" s="73"/>
      <c r="GG34" s="73"/>
      <c r="GH34" s="73"/>
      <c r="GI34" s="73"/>
      <c r="GJ34" s="73"/>
      <c r="GK34" s="73"/>
      <c r="GL34" s="73"/>
    </row>
    <row r="35" spans="25:194" ht="15.75">
      <c r="Y35" s="745" t="s">
        <v>101</v>
      </c>
      <c r="Z35" s="751">
        <v>166</v>
      </c>
      <c r="AA35" s="311"/>
      <c r="AB35" s="743" t="s">
        <v>4</v>
      </c>
      <c r="AC35" s="749">
        <v>113</v>
      </c>
      <c r="AD35" s="311"/>
      <c r="AY35" s="323"/>
      <c r="AZ35" s="325"/>
      <c r="BA35" s="54"/>
      <c r="BB35" s="327"/>
      <c r="BC35" s="325"/>
      <c r="BD35" s="54"/>
      <c r="BE35" s="73"/>
      <c r="BF35" s="73"/>
      <c r="BG35" s="54"/>
      <c r="BH35" s="73"/>
      <c r="BI35" s="73"/>
      <c r="BJ35" s="54"/>
      <c r="BK35" s="73"/>
      <c r="BL35" s="73"/>
      <c r="BY35" s="461"/>
      <c r="BZ35" s="325"/>
      <c r="CA35" s="54"/>
      <c r="CB35" s="458"/>
      <c r="CC35" s="40"/>
      <c r="CD35" s="54"/>
      <c r="CE35" s="73"/>
      <c r="CF35" s="73"/>
      <c r="CG35" s="54"/>
      <c r="CH35" s="73"/>
      <c r="CI35" s="73"/>
      <c r="CJ35" s="73"/>
      <c r="CK35" s="73"/>
      <c r="CL35" s="73"/>
      <c r="CY35" s="327"/>
      <c r="CZ35" s="325"/>
      <c r="DA35" s="54"/>
      <c r="DB35" s="327"/>
      <c r="DC35" s="325"/>
      <c r="DD35" s="54"/>
      <c r="DE35" s="73"/>
      <c r="DF35" s="73"/>
      <c r="DG35" s="73"/>
      <c r="DH35" s="73"/>
      <c r="DI35" s="73"/>
      <c r="DJ35" s="54"/>
      <c r="DK35" s="73"/>
      <c r="DL35" s="73"/>
      <c r="DY35" s="51"/>
      <c r="DZ35" s="325"/>
      <c r="EA35" s="54"/>
      <c r="EB35" s="51"/>
      <c r="EC35" s="325"/>
      <c r="ED35" s="54"/>
      <c r="EE35" s="73"/>
      <c r="EF35" s="73"/>
      <c r="EG35" s="73"/>
      <c r="EH35" s="73"/>
      <c r="EI35" s="73"/>
      <c r="EJ35" s="73"/>
      <c r="EK35" s="73"/>
      <c r="EL35" s="73"/>
      <c r="EY35" s="327"/>
      <c r="EZ35" s="455"/>
      <c r="FA35" s="54"/>
      <c r="FB35" s="327"/>
      <c r="FC35" s="325"/>
      <c r="FD35" s="54"/>
      <c r="FE35" s="73"/>
      <c r="FF35" s="73"/>
      <c r="FG35" s="73"/>
      <c r="FH35" s="73"/>
      <c r="FI35" s="73"/>
      <c r="FJ35" s="73"/>
      <c r="FK35" s="73"/>
      <c r="FL35" s="73"/>
      <c r="FY35" s="457"/>
      <c r="FZ35" s="325"/>
      <c r="GA35" s="73"/>
      <c r="GB35" s="457"/>
      <c r="GC35" s="325"/>
      <c r="GD35" s="73"/>
      <c r="GE35" s="73"/>
      <c r="GF35" s="73"/>
      <c r="GG35" s="73"/>
      <c r="GH35" s="73"/>
      <c r="GI35" s="73"/>
      <c r="GJ35" s="73"/>
      <c r="GK35" s="73"/>
      <c r="GL35" s="73"/>
    </row>
    <row r="36" spans="25:194" ht="15.75">
      <c r="Y36" s="747" t="s">
        <v>208</v>
      </c>
      <c r="Z36" s="753">
        <v>165</v>
      </c>
      <c r="AA36" s="311"/>
      <c r="AB36" s="744" t="s">
        <v>213</v>
      </c>
      <c r="AC36" s="750">
        <v>113</v>
      </c>
      <c r="AD36" s="311"/>
      <c r="AY36" s="323"/>
      <c r="AZ36" s="325"/>
      <c r="BA36" s="54"/>
      <c r="BB36" s="327"/>
      <c r="BC36" s="325"/>
      <c r="BD36" s="54"/>
      <c r="BE36" s="73"/>
      <c r="BF36" s="73"/>
      <c r="BG36" s="54"/>
      <c r="BH36" s="73"/>
      <c r="BI36" s="73"/>
      <c r="BJ36" s="54"/>
      <c r="BK36" s="73"/>
      <c r="BL36" s="73"/>
      <c r="BY36" s="458"/>
      <c r="BZ36" s="325"/>
      <c r="CA36" s="54"/>
      <c r="CB36" s="458"/>
      <c r="CC36" s="40"/>
      <c r="CD36" s="54"/>
      <c r="CE36" s="73"/>
      <c r="CF36" s="73"/>
      <c r="CG36" s="54"/>
      <c r="CH36" s="73"/>
      <c r="CI36" s="73"/>
      <c r="CJ36" s="73"/>
      <c r="CK36" s="73"/>
      <c r="CL36" s="73"/>
      <c r="CY36" s="327"/>
      <c r="CZ36" s="325"/>
      <c r="DA36" s="54"/>
      <c r="DB36" s="51"/>
      <c r="DC36" s="325"/>
      <c r="DD36" s="54"/>
      <c r="DE36" s="73"/>
      <c r="DF36" s="73"/>
      <c r="DG36" s="73"/>
      <c r="DH36" s="73"/>
      <c r="DI36" s="73"/>
      <c r="DJ36" s="54"/>
      <c r="DK36" s="73"/>
      <c r="DL36" s="73"/>
      <c r="DY36" s="51"/>
      <c r="DZ36" s="325"/>
      <c r="EA36" s="54"/>
      <c r="EB36" s="51"/>
      <c r="EC36" s="325"/>
      <c r="ED36" s="54"/>
      <c r="EE36" s="73"/>
      <c r="EF36" s="73"/>
      <c r="EG36" s="73"/>
      <c r="EH36" s="73"/>
      <c r="EI36" s="73"/>
      <c r="EJ36" s="73"/>
      <c r="EK36" s="73"/>
      <c r="EL36" s="73"/>
      <c r="EY36" s="51"/>
      <c r="EZ36" s="455"/>
      <c r="FA36" s="54"/>
      <c r="FB36" s="327"/>
      <c r="FC36" s="325"/>
      <c r="FD36" s="54"/>
      <c r="FE36" s="73"/>
      <c r="FF36" s="73"/>
      <c r="FG36" s="73"/>
      <c r="FH36" s="73"/>
      <c r="FI36" s="73"/>
      <c r="FJ36" s="73"/>
      <c r="FK36" s="73"/>
      <c r="FL36" s="73"/>
      <c r="FY36" s="457"/>
      <c r="FZ36" s="325"/>
      <c r="GA36" s="73"/>
      <c r="GB36" s="457"/>
      <c r="GC36" s="325"/>
      <c r="GD36" s="73"/>
      <c r="GE36" s="73"/>
      <c r="GF36" s="73"/>
      <c r="GG36" s="73"/>
      <c r="GH36" s="73"/>
      <c r="GI36" s="73"/>
      <c r="GJ36" s="73"/>
      <c r="GK36" s="73"/>
      <c r="GL36" s="73"/>
    </row>
    <row r="37" spans="25:194" ht="15.75">
      <c r="Y37" s="746" t="s">
        <v>65</v>
      </c>
      <c r="Z37" s="752">
        <v>163</v>
      </c>
      <c r="AA37" s="311"/>
      <c r="AB37" s="747" t="s">
        <v>33</v>
      </c>
      <c r="AC37" s="753">
        <v>112</v>
      </c>
      <c r="AD37" s="311"/>
      <c r="AY37" s="323"/>
      <c r="AZ37" s="325"/>
      <c r="BA37" s="54"/>
      <c r="BB37" s="327"/>
      <c r="BC37" s="325"/>
      <c r="BD37" s="54"/>
      <c r="BE37" s="73"/>
      <c r="BF37" s="73"/>
      <c r="BG37" s="54"/>
      <c r="BH37" s="73"/>
      <c r="BI37" s="73"/>
      <c r="BJ37" s="54"/>
      <c r="BK37" s="73"/>
      <c r="BL37" s="73"/>
      <c r="BY37" s="458"/>
      <c r="BZ37" s="325"/>
      <c r="CA37" s="54"/>
      <c r="CB37" s="458"/>
      <c r="CC37" s="40"/>
      <c r="CD37" s="54"/>
      <c r="CE37" s="73"/>
      <c r="CF37" s="73"/>
      <c r="CG37" s="54"/>
      <c r="CH37" s="73"/>
      <c r="CI37" s="73"/>
      <c r="CJ37" s="73"/>
      <c r="CK37" s="73"/>
      <c r="CL37" s="73"/>
      <c r="CY37" s="327"/>
      <c r="CZ37" s="325"/>
      <c r="DA37" s="54"/>
      <c r="DB37" s="327"/>
      <c r="DC37" s="325"/>
      <c r="DD37" s="54"/>
      <c r="DE37" s="73"/>
      <c r="DF37" s="73"/>
      <c r="DG37" s="73"/>
      <c r="DH37" s="73"/>
      <c r="DI37" s="73"/>
      <c r="DJ37" s="54"/>
      <c r="DK37" s="73"/>
      <c r="DL37" s="73"/>
      <c r="DY37" s="51"/>
      <c r="DZ37" s="325"/>
      <c r="EA37" s="54"/>
      <c r="EB37" s="51"/>
      <c r="EC37" s="325"/>
      <c r="ED37" s="54"/>
      <c r="EE37" s="73"/>
      <c r="EF37" s="73"/>
      <c r="EG37" s="73"/>
      <c r="EH37" s="73"/>
      <c r="EI37" s="73"/>
      <c r="EJ37" s="73"/>
      <c r="EK37" s="73"/>
      <c r="EL37" s="73"/>
      <c r="EY37" s="327"/>
      <c r="EZ37" s="455"/>
      <c r="FA37" s="54"/>
      <c r="FB37" s="327"/>
      <c r="FC37" s="325"/>
      <c r="FD37" s="54"/>
      <c r="FE37" s="73"/>
      <c r="FF37" s="73"/>
      <c r="FG37" s="73"/>
      <c r="FH37" s="73"/>
      <c r="FI37" s="73"/>
      <c r="FJ37" s="73"/>
      <c r="FK37" s="73"/>
      <c r="FL37" s="73"/>
      <c r="FY37" s="457"/>
      <c r="FZ37" s="325"/>
      <c r="GA37" s="73"/>
      <c r="GB37" s="457"/>
      <c r="GC37" s="325"/>
      <c r="GD37" s="73"/>
      <c r="GE37" s="73"/>
      <c r="GF37" s="73"/>
      <c r="GG37" s="73"/>
      <c r="GH37" s="73"/>
      <c r="GI37" s="73"/>
      <c r="GJ37" s="73"/>
      <c r="GK37" s="73"/>
      <c r="GL37" s="73"/>
    </row>
    <row r="38" spans="25:194" ht="15.75">
      <c r="Y38" s="745" t="s">
        <v>102</v>
      </c>
      <c r="Z38" s="751">
        <v>161</v>
      </c>
      <c r="AA38" s="311"/>
      <c r="AB38" s="747" t="s">
        <v>118</v>
      </c>
      <c r="AC38" s="753">
        <v>112</v>
      </c>
      <c r="AD38" s="311"/>
      <c r="AY38" s="323"/>
      <c r="AZ38" s="325"/>
      <c r="BA38" s="54"/>
      <c r="BB38" s="327"/>
      <c r="BC38" s="325"/>
      <c r="BD38" s="54"/>
      <c r="BE38" s="73"/>
      <c r="BF38" s="73"/>
      <c r="BG38" s="54"/>
      <c r="BH38" s="73"/>
      <c r="BI38" s="73"/>
      <c r="BJ38" s="54"/>
      <c r="BK38" s="73"/>
      <c r="BL38" s="73"/>
      <c r="BY38" s="458"/>
      <c r="BZ38" s="325"/>
      <c r="CA38" s="54"/>
      <c r="CB38" s="458"/>
      <c r="CC38" s="40"/>
      <c r="CD38" s="54"/>
      <c r="CE38" s="73"/>
      <c r="CF38" s="73"/>
      <c r="CG38" s="54"/>
      <c r="CH38" s="73"/>
      <c r="CI38" s="73"/>
      <c r="CJ38" s="73"/>
      <c r="CK38" s="73"/>
      <c r="CL38" s="73"/>
      <c r="CY38" s="327"/>
      <c r="CZ38" s="325"/>
      <c r="DA38" s="54"/>
      <c r="DB38" s="51"/>
      <c r="DC38" s="325"/>
      <c r="DD38" s="54"/>
      <c r="DE38" s="73"/>
      <c r="DF38" s="73"/>
      <c r="DG38" s="73"/>
      <c r="DH38" s="73"/>
      <c r="DI38" s="73"/>
      <c r="DJ38" s="54"/>
      <c r="DK38" s="73"/>
      <c r="DL38" s="73"/>
      <c r="DY38" s="51"/>
      <c r="DZ38" s="325"/>
      <c r="EA38" s="54"/>
      <c r="EB38" s="51"/>
      <c r="EC38" s="325"/>
      <c r="ED38" s="54"/>
      <c r="EE38" s="73"/>
      <c r="EF38" s="73"/>
      <c r="EG38" s="73"/>
      <c r="EH38" s="73"/>
      <c r="EI38" s="73"/>
      <c r="EJ38" s="73"/>
      <c r="EK38" s="73"/>
      <c r="EL38" s="73"/>
      <c r="EY38" s="51"/>
      <c r="EZ38" s="455"/>
      <c r="FA38" s="54"/>
      <c r="FB38" s="51"/>
      <c r="FC38" s="325"/>
      <c r="FD38" s="54"/>
      <c r="FE38" s="73"/>
      <c r="FF38" s="73"/>
      <c r="FG38" s="73"/>
      <c r="FH38" s="73"/>
      <c r="FI38" s="73"/>
      <c r="FJ38" s="73"/>
      <c r="FK38" s="73"/>
      <c r="FL38" s="73"/>
      <c r="FY38" s="457"/>
      <c r="FZ38" s="325"/>
      <c r="GA38" s="73"/>
      <c r="GB38" s="457"/>
      <c r="GC38" s="325"/>
      <c r="GD38" s="73"/>
      <c r="GE38" s="73"/>
      <c r="GF38" s="73"/>
      <c r="GG38" s="73"/>
      <c r="GH38" s="73"/>
      <c r="GI38" s="73"/>
      <c r="GJ38" s="73"/>
      <c r="GK38" s="73"/>
      <c r="GL38" s="73"/>
    </row>
    <row r="39" spans="25:194" ht="15.75">
      <c r="Y39" s="747" t="s">
        <v>209</v>
      </c>
      <c r="Z39" s="753">
        <v>161</v>
      </c>
      <c r="AA39" s="311"/>
      <c r="AB39" s="744" t="s">
        <v>15</v>
      </c>
      <c r="AC39" s="750">
        <v>111</v>
      </c>
      <c r="AD39" s="311"/>
      <c r="AY39" s="323"/>
      <c r="AZ39" s="325"/>
      <c r="BA39" s="54"/>
      <c r="BB39" s="327"/>
      <c r="BC39" s="325"/>
      <c r="BD39" s="54"/>
      <c r="BE39" s="73"/>
      <c r="BF39" s="73"/>
      <c r="BG39" s="54"/>
      <c r="BH39" s="73"/>
      <c r="BI39" s="73"/>
      <c r="BJ39" s="54"/>
      <c r="BK39" s="73"/>
      <c r="BL39" s="73"/>
      <c r="BY39" s="458"/>
      <c r="BZ39" s="325"/>
      <c r="CA39" s="54"/>
      <c r="CB39" s="458"/>
      <c r="CC39" s="40"/>
      <c r="CD39" s="54"/>
      <c r="CE39" s="73"/>
      <c r="CF39" s="73"/>
      <c r="CG39" s="54"/>
      <c r="CH39" s="73"/>
      <c r="CI39" s="73"/>
      <c r="CJ39" s="73"/>
      <c r="CK39" s="73"/>
      <c r="CL39" s="73"/>
      <c r="CY39" s="327"/>
      <c r="CZ39" s="325"/>
      <c r="DA39" s="54"/>
      <c r="DB39" s="327"/>
      <c r="DC39" s="325"/>
      <c r="DD39" s="54"/>
      <c r="DE39" s="73"/>
      <c r="DF39" s="73"/>
      <c r="DG39" s="73"/>
      <c r="DH39" s="73"/>
      <c r="DI39" s="73"/>
      <c r="DJ39" s="54"/>
      <c r="DK39" s="73"/>
      <c r="DL39" s="73"/>
      <c r="DY39" s="51"/>
      <c r="DZ39" s="325"/>
      <c r="EA39" s="54"/>
      <c r="EB39" s="51"/>
      <c r="EC39" s="325"/>
      <c r="ED39" s="54"/>
      <c r="EE39" s="73"/>
      <c r="EF39" s="73"/>
      <c r="EG39" s="73"/>
      <c r="EH39" s="73"/>
      <c r="EI39" s="73"/>
      <c r="EJ39" s="73"/>
      <c r="EK39" s="73"/>
      <c r="EL39" s="73"/>
      <c r="EY39" s="51"/>
      <c r="EZ39" s="455"/>
      <c r="FA39" s="54"/>
      <c r="FB39" s="327"/>
      <c r="FC39" s="325"/>
      <c r="FD39" s="54"/>
      <c r="FE39" s="73"/>
      <c r="FF39" s="73"/>
      <c r="FG39" s="73"/>
      <c r="FH39" s="73"/>
      <c r="FI39" s="73"/>
      <c r="FJ39" s="73"/>
      <c r="FK39" s="73"/>
      <c r="FL39" s="73"/>
      <c r="FY39" s="457"/>
      <c r="FZ39" s="325"/>
      <c r="GA39" s="73"/>
      <c r="GB39" s="457"/>
      <c r="GC39" s="325"/>
      <c r="GD39" s="73"/>
      <c r="GE39" s="73"/>
      <c r="GF39" s="73"/>
      <c r="GG39" s="73"/>
      <c r="GH39" s="73"/>
      <c r="GI39" s="73"/>
      <c r="GJ39" s="73"/>
      <c r="GK39" s="73"/>
      <c r="GL39" s="73"/>
    </row>
    <row r="40" spans="25:194" ht="15.75">
      <c r="Y40" s="744" t="s">
        <v>31</v>
      </c>
      <c r="Z40" s="750">
        <v>160</v>
      </c>
      <c r="AA40" s="311"/>
      <c r="AB40" s="747" t="s">
        <v>7</v>
      </c>
      <c r="AC40" s="753">
        <v>111</v>
      </c>
      <c r="AD40" s="311"/>
      <c r="AY40" s="323"/>
      <c r="AZ40" s="325"/>
      <c r="BA40" s="54"/>
      <c r="BB40" s="327"/>
      <c r="BC40" s="325"/>
      <c r="BD40" s="54"/>
      <c r="BE40" s="73"/>
      <c r="BF40" s="73"/>
      <c r="BG40" s="54"/>
      <c r="BH40" s="73"/>
      <c r="BI40" s="73"/>
      <c r="BJ40" s="54"/>
      <c r="BK40" s="73"/>
      <c r="BL40" s="73"/>
      <c r="BY40" s="458"/>
      <c r="BZ40" s="325"/>
      <c r="CA40" s="54"/>
      <c r="CB40" s="458"/>
      <c r="CC40" s="40"/>
      <c r="CD40" s="54"/>
      <c r="CE40" s="73"/>
      <c r="CF40" s="73"/>
      <c r="CG40" s="54"/>
      <c r="CH40" s="73"/>
      <c r="CI40" s="73"/>
      <c r="CJ40" s="73"/>
      <c r="CK40" s="73"/>
      <c r="CL40" s="73"/>
      <c r="CY40" s="327"/>
      <c r="CZ40" s="325"/>
      <c r="DA40" s="54"/>
      <c r="DB40" s="327"/>
      <c r="DC40" s="325"/>
      <c r="DD40" s="54"/>
      <c r="DE40" s="73"/>
      <c r="DF40" s="73"/>
      <c r="DG40" s="73"/>
      <c r="DH40" s="73"/>
      <c r="DI40" s="73"/>
      <c r="DJ40" s="54"/>
      <c r="DK40" s="73"/>
      <c r="DL40" s="73"/>
      <c r="DY40" s="51"/>
      <c r="DZ40" s="325"/>
      <c r="EA40" s="54"/>
      <c r="EB40" s="51"/>
      <c r="EC40" s="325"/>
      <c r="ED40" s="54"/>
      <c r="EE40" s="73"/>
      <c r="EF40" s="73"/>
      <c r="EG40" s="73"/>
      <c r="EH40" s="73"/>
      <c r="EI40" s="73"/>
      <c r="EJ40" s="73"/>
      <c r="EK40" s="73"/>
      <c r="EL40" s="73"/>
      <c r="EY40" s="327"/>
      <c r="EZ40" s="455"/>
      <c r="FA40" s="54"/>
      <c r="FB40" s="51"/>
      <c r="FC40" s="325"/>
      <c r="FD40" s="54"/>
      <c r="FE40" s="73"/>
      <c r="FF40" s="73"/>
      <c r="FG40" s="73"/>
      <c r="FH40" s="73"/>
      <c r="FI40" s="73"/>
      <c r="FJ40" s="73"/>
      <c r="FK40" s="73"/>
      <c r="FL40" s="73"/>
      <c r="FY40" s="457"/>
      <c r="FZ40" s="325"/>
      <c r="GA40" s="73"/>
      <c r="GB40" s="457"/>
      <c r="GC40" s="325"/>
      <c r="GD40" s="73"/>
      <c r="GE40" s="73"/>
      <c r="GF40" s="73"/>
      <c r="GG40" s="73"/>
      <c r="GH40" s="73"/>
      <c r="GI40" s="73"/>
      <c r="GJ40" s="73"/>
      <c r="GK40" s="73"/>
      <c r="GL40" s="73"/>
    </row>
    <row r="41" spans="25:194" ht="15.75">
      <c r="Y41" s="744" t="s">
        <v>213</v>
      </c>
      <c r="Z41" s="750">
        <v>159</v>
      </c>
      <c r="AA41" s="311"/>
      <c r="AB41" s="747" t="s">
        <v>206</v>
      </c>
      <c r="AC41" s="753">
        <v>111</v>
      </c>
      <c r="AD41" s="311"/>
      <c r="AY41" s="323"/>
      <c r="AZ41" s="325"/>
      <c r="BA41" s="54"/>
      <c r="BB41" s="327"/>
      <c r="BC41" s="325"/>
      <c r="BD41" s="54"/>
      <c r="BE41" s="73"/>
      <c r="BF41" s="73"/>
      <c r="BG41" s="54"/>
      <c r="BH41" s="73"/>
      <c r="BI41" s="73"/>
      <c r="BJ41" s="54"/>
      <c r="BK41" s="73"/>
      <c r="BL41" s="73"/>
      <c r="BY41" s="458"/>
      <c r="BZ41" s="325"/>
      <c r="CA41" s="54"/>
      <c r="CB41" s="458"/>
      <c r="CC41" s="40"/>
      <c r="CD41" s="54"/>
      <c r="CE41" s="73"/>
      <c r="CF41" s="73"/>
      <c r="CG41" s="54"/>
      <c r="CH41" s="73"/>
      <c r="CI41" s="73"/>
      <c r="CJ41" s="73"/>
      <c r="CK41" s="73"/>
      <c r="CL41" s="73"/>
      <c r="CY41" s="51"/>
      <c r="CZ41" s="325"/>
      <c r="DA41" s="54"/>
      <c r="DB41" s="327"/>
      <c r="DC41" s="325"/>
      <c r="DD41" s="54"/>
      <c r="DE41" s="73"/>
      <c r="DF41" s="73"/>
      <c r="DG41" s="73"/>
      <c r="DH41" s="73"/>
      <c r="DI41" s="73"/>
      <c r="DJ41" s="54"/>
      <c r="DK41" s="73"/>
      <c r="DL41" s="73"/>
      <c r="DY41" s="51"/>
      <c r="DZ41" s="325"/>
      <c r="EA41" s="54"/>
      <c r="EB41" s="51"/>
      <c r="EC41" s="325"/>
      <c r="ED41" s="54"/>
      <c r="EE41" s="73"/>
      <c r="EF41" s="73"/>
      <c r="EG41" s="73"/>
      <c r="EH41" s="73"/>
      <c r="EI41" s="73"/>
      <c r="EJ41" s="73"/>
      <c r="EK41" s="73"/>
      <c r="EL41" s="73"/>
      <c r="EY41" s="327"/>
      <c r="EZ41" s="455"/>
      <c r="FA41" s="54"/>
      <c r="FB41" s="327"/>
      <c r="FC41" s="325"/>
      <c r="FD41" s="54"/>
      <c r="FE41" s="73"/>
      <c r="FF41" s="73"/>
      <c r="FG41" s="73"/>
      <c r="FH41" s="73"/>
      <c r="FI41" s="73"/>
      <c r="FJ41" s="73"/>
      <c r="FK41" s="73"/>
      <c r="FL41" s="73"/>
      <c r="FY41" s="457"/>
      <c r="FZ41" s="325"/>
      <c r="GA41" s="73"/>
      <c r="GB41" s="457"/>
      <c r="GC41" s="325"/>
      <c r="GD41" s="73"/>
      <c r="GE41" s="73"/>
      <c r="GF41" s="73"/>
      <c r="GG41" s="73"/>
      <c r="GH41" s="73"/>
      <c r="GI41" s="73"/>
      <c r="GJ41" s="73"/>
      <c r="GK41" s="73"/>
      <c r="GL41" s="73"/>
    </row>
    <row r="42" spans="25:194" ht="15.75">
      <c r="Y42" s="746" t="s">
        <v>66</v>
      </c>
      <c r="Z42" s="752">
        <v>159</v>
      </c>
      <c r="AA42" s="311"/>
      <c r="AB42" s="744" t="s">
        <v>14</v>
      </c>
      <c r="AC42" s="750">
        <v>110</v>
      </c>
      <c r="AD42" s="311"/>
      <c r="AY42" s="323"/>
      <c r="AZ42" s="325"/>
      <c r="BA42" s="54"/>
      <c r="BB42" s="327"/>
      <c r="BC42" s="325"/>
      <c r="BD42" s="54"/>
      <c r="BE42" s="73"/>
      <c r="BF42" s="73"/>
      <c r="BG42" s="54"/>
      <c r="BH42" s="73"/>
      <c r="BI42" s="73"/>
      <c r="BJ42" s="54"/>
      <c r="BK42" s="73"/>
      <c r="BL42" s="73"/>
      <c r="BY42" s="458"/>
      <c r="BZ42" s="325"/>
      <c r="CA42" s="54"/>
      <c r="CB42" s="458"/>
      <c r="CC42" s="40"/>
      <c r="CD42" s="54"/>
      <c r="CE42" s="73"/>
      <c r="CF42" s="73"/>
      <c r="CG42" s="54"/>
      <c r="CH42" s="73"/>
      <c r="CI42" s="73"/>
      <c r="CJ42" s="73"/>
      <c r="CK42" s="73"/>
      <c r="CL42" s="73"/>
      <c r="CY42" s="51"/>
      <c r="CZ42" s="325"/>
      <c r="DA42" s="54"/>
      <c r="DB42" s="327"/>
      <c r="DC42" s="325"/>
      <c r="DD42" s="54"/>
      <c r="DE42" s="73"/>
      <c r="DF42" s="73"/>
      <c r="DG42" s="73"/>
      <c r="DH42" s="73"/>
      <c r="DI42" s="73"/>
      <c r="DJ42" s="54"/>
      <c r="DK42" s="73"/>
      <c r="DL42" s="73"/>
      <c r="DY42" s="51"/>
      <c r="DZ42" s="325"/>
      <c r="EA42" s="54"/>
      <c r="EB42" s="51"/>
      <c r="EC42" s="325"/>
      <c r="ED42" s="54"/>
      <c r="EE42" s="73"/>
      <c r="EF42" s="73"/>
      <c r="EG42" s="73"/>
      <c r="EH42" s="73"/>
      <c r="EI42" s="73"/>
      <c r="EJ42" s="73"/>
      <c r="EK42" s="73"/>
      <c r="EL42" s="73"/>
      <c r="EY42" s="51"/>
      <c r="EZ42" s="455"/>
      <c r="FA42" s="54"/>
      <c r="FB42" s="327"/>
      <c r="FC42" s="325"/>
      <c r="FD42" s="54"/>
      <c r="FE42" s="73"/>
      <c r="FF42" s="73"/>
      <c r="FG42" s="73"/>
      <c r="FH42" s="73"/>
      <c r="FI42" s="73"/>
      <c r="FJ42" s="73"/>
      <c r="FK42" s="73"/>
      <c r="FL42" s="73"/>
      <c r="FY42" s="457"/>
      <c r="FZ42" s="325"/>
      <c r="GA42" s="73"/>
      <c r="GB42" s="457"/>
      <c r="GC42" s="325"/>
      <c r="GD42" s="73"/>
      <c r="GE42" s="73"/>
      <c r="GF42" s="73"/>
      <c r="GG42" s="73"/>
      <c r="GH42" s="73"/>
      <c r="GI42" s="73"/>
      <c r="GJ42" s="73"/>
      <c r="GK42" s="73"/>
      <c r="GL42" s="73"/>
    </row>
    <row r="43" spans="25:194" ht="15.75">
      <c r="Y43" s="747" t="s">
        <v>18</v>
      </c>
      <c r="Z43" s="753">
        <v>156</v>
      </c>
      <c r="AA43" s="312"/>
      <c r="AB43" s="745" t="s">
        <v>102</v>
      </c>
      <c r="AC43" s="751">
        <v>109</v>
      </c>
      <c r="AD43" s="311"/>
      <c r="AY43" s="323"/>
      <c r="AZ43" s="325"/>
      <c r="BA43" s="55"/>
      <c r="BB43" s="327"/>
      <c r="BC43" s="325"/>
      <c r="BD43" s="54"/>
      <c r="BE43" s="73"/>
      <c r="BF43" s="73"/>
      <c r="BG43" s="54"/>
      <c r="BH43" s="73"/>
      <c r="BI43" s="73"/>
      <c r="BJ43" s="54"/>
      <c r="BK43" s="73"/>
      <c r="BL43" s="73"/>
      <c r="BY43" s="458"/>
      <c r="BZ43" s="325"/>
      <c r="CA43" s="55"/>
      <c r="CB43" s="458"/>
      <c r="CC43" s="40"/>
      <c r="CD43" s="54"/>
      <c r="CE43" s="73"/>
      <c r="CF43" s="73"/>
      <c r="CG43" s="54"/>
      <c r="CH43" s="73"/>
      <c r="CI43" s="73"/>
      <c r="CJ43" s="73"/>
      <c r="CK43" s="73"/>
      <c r="CL43" s="73"/>
      <c r="CY43" s="51"/>
      <c r="CZ43" s="325"/>
      <c r="DA43" s="290"/>
      <c r="DB43" s="51"/>
      <c r="DC43" s="325"/>
      <c r="DD43" s="54"/>
      <c r="DE43" s="73"/>
      <c r="DF43" s="73"/>
      <c r="DG43" s="73"/>
      <c r="DH43" s="73"/>
      <c r="DI43" s="73"/>
      <c r="DJ43" s="54"/>
      <c r="DK43" s="73"/>
      <c r="DL43" s="73"/>
      <c r="DY43" s="51"/>
      <c r="DZ43" s="325"/>
      <c r="EA43" s="290"/>
      <c r="EB43" s="51"/>
      <c r="EC43" s="325"/>
      <c r="ED43" s="54"/>
      <c r="EE43" s="73"/>
      <c r="EF43" s="73"/>
      <c r="EG43" s="73"/>
      <c r="EH43" s="73"/>
      <c r="EI43" s="73"/>
      <c r="EJ43" s="73"/>
      <c r="EK43" s="73"/>
      <c r="EL43" s="73"/>
      <c r="EY43" s="327"/>
      <c r="EZ43" s="455"/>
      <c r="FA43" s="55"/>
      <c r="FB43" s="51"/>
      <c r="FC43" s="325"/>
      <c r="FD43" s="54"/>
      <c r="FE43" s="73"/>
      <c r="FF43" s="73"/>
      <c r="FG43" s="73"/>
      <c r="FH43" s="73"/>
      <c r="FI43" s="73"/>
      <c r="FJ43" s="73"/>
      <c r="FK43" s="73"/>
      <c r="FL43" s="73"/>
      <c r="FY43" s="457"/>
      <c r="FZ43" s="325"/>
      <c r="GA43" s="73"/>
      <c r="GB43" s="457"/>
      <c r="GC43" s="325"/>
      <c r="GD43" s="73"/>
      <c r="GE43" s="73"/>
      <c r="GF43" s="73"/>
      <c r="GG43" s="73"/>
      <c r="GH43" s="73"/>
      <c r="GI43" s="73"/>
      <c r="GJ43" s="73"/>
      <c r="GK43" s="73"/>
      <c r="GL43" s="73"/>
    </row>
    <row r="44" spans="25:194" ht="15.75">
      <c r="Y44" s="746" t="s">
        <v>67</v>
      </c>
      <c r="Z44" s="752">
        <v>154</v>
      </c>
      <c r="AA44" s="311"/>
      <c r="AB44" s="747" t="s">
        <v>209</v>
      </c>
      <c r="AC44" s="753">
        <v>108</v>
      </c>
      <c r="AD44" s="311"/>
      <c r="AY44" s="323"/>
      <c r="AZ44" s="325"/>
      <c r="BA44" s="54"/>
      <c r="BB44" s="327"/>
      <c r="BC44" s="325"/>
      <c r="BD44" s="54"/>
      <c r="BE44" s="73"/>
      <c r="BF44" s="73"/>
      <c r="BG44" s="54"/>
      <c r="BH44" s="73"/>
      <c r="BI44" s="73"/>
      <c r="BJ44" s="54"/>
      <c r="BK44" s="73"/>
      <c r="BL44" s="73"/>
      <c r="BY44" s="458"/>
      <c r="BZ44" s="325"/>
      <c r="CA44" s="54"/>
      <c r="CB44" s="458"/>
      <c r="CC44" s="40"/>
      <c r="CD44" s="54"/>
      <c r="CE44" s="73"/>
      <c r="CF44" s="73"/>
      <c r="CG44" s="54"/>
      <c r="CH44" s="73"/>
      <c r="CI44" s="73"/>
      <c r="CJ44" s="73"/>
      <c r="CK44" s="73"/>
      <c r="CL44" s="73"/>
      <c r="CY44" s="327"/>
      <c r="CZ44" s="325"/>
      <c r="DA44" s="54"/>
      <c r="DB44" s="327"/>
      <c r="DC44" s="325"/>
      <c r="DD44" s="54"/>
      <c r="DE44" s="73"/>
      <c r="DF44" s="73"/>
      <c r="DG44" s="73"/>
      <c r="DH44" s="73"/>
      <c r="DI44" s="73"/>
      <c r="DJ44" s="54"/>
      <c r="DK44" s="73"/>
      <c r="DL44" s="73"/>
      <c r="DY44" s="51"/>
      <c r="DZ44" s="325"/>
      <c r="EA44" s="54"/>
      <c r="EB44" s="51"/>
      <c r="EC44" s="325"/>
      <c r="ED44" s="54"/>
      <c r="EE44" s="73"/>
      <c r="EF44" s="73"/>
      <c r="EG44" s="73"/>
      <c r="EH44" s="73"/>
      <c r="EI44" s="73"/>
      <c r="EJ44" s="73"/>
      <c r="EK44" s="73"/>
      <c r="EL44" s="73"/>
      <c r="EY44" s="51"/>
      <c r="EZ44" s="455"/>
      <c r="FA44" s="54"/>
      <c r="FB44" s="327"/>
      <c r="FC44" s="325"/>
      <c r="FD44" s="54"/>
      <c r="FE44" s="73"/>
      <c r="FF44" s="73"/>
      <c r="FG44" s="73"/>
      <c r="FH44" s="73"/>
      <c r="FI44" s="73"/>
      <c r="FJ44" s="73"/>
      <c r="FK44" s="73"/>
      <c r="FL44" s="73"/>
      <c r="FY44" s="457"/>
      <c r="FZ44" s="325"/>
      <c r="GA44" s="73"/>
      <c r="GB44" s="457"/>
      <c r="GC44" s="325"/>
      <c r="GD44" s="73"/>
      <c r="GE44" s="73"/>
      <c r="GF44" s="73"/>
      <c r="GG44" s="73"/>
      <c r="GH44" s="73"/>
      <c r="GI44" s="73"/>
      <c r="GJ44" s="73"/>
      <c r="GK44" s="73"/>
      <c r="GL44" s="73"/>
    </row>
    <row r="45" spans="25:194" ht="15.75">
      <c r="Y45" s="746" t="s">
        <v>90</v>
      </c>
      <c r="Z45" s="752">
        <v>148</v>
      </c>
      <c r="AA45" s="311"/>
      <c r="AB45" s="747" t="s">
        <v>75</v>
      </c>
      <c r="AC45" s="753">
        <v>104</v>
      </c>
      <c r="AD45" s="311"/>
      <c r="AY45" s="323"/>
      <c r="AZ45" s="325"/>
      <c r="BA45" s="54"/>
      <c r="BB45" s="327"/>
      <c r="BC45" s="325"/>
      <c r="BD45" s="54"/>
      <c r="BE45" s="73"/>
      <c r="BF45" s="73"/>
      <c r="BG45" s="54"/>
      <c r="BH45" s="73"/>
      <c r="BI45" s="73"/>
      <c r="BJ45" s="54"/>
      <c r="BK45" s="73"/>
      <c r="BL45" s="73"/>
      <c r="BY45" s="458"/>
      <c r="BZ45" s="325"/>
      <c r="CA45" s="54"/>
      <c r="CB45" s="458"/>
      <c r="CC45" s="40"/>
      <c r="CD45" s="54"/>
      <c r="CE45" s="73"/>
      <c r="CF45" s="73"/>
      <c r="CG45" s="54"/>
      <c r="CH45" s="73"/>
      <c r="CI45" s="73"/>
      <c r="CJ45" s="73"/>
      <c r="CK45" s="73"/>
      <c r="CL45" s="73"/>
      <c r="CY45" s="327"/>
      <c r="CZ45" s="325"/>
      <c r="DA45" s="54"/>
      <c r="DB45" s="327"/>
      <c r="DC45" s="325"/>
      <c r="DD45" s="54"/>
      <c r="DE45" s="73"/>
      <c r="DF45" s="73"/>
      <c r="DG45" s="73"/>
      <c r="DH45" s="73"/>
      <c r="DI45" s="73"/>
      <c r="DJ45" s="54"/>
      <c r="DK45" s="73"/>
      <c r="DL45" s="73"/>
      <c r="DY45" s="51"/>
      <c r="DZ45" s="325"/>
      <c r="EA45" s="54"/>
      <c r="EB45" s="51"/>
      <c r="EC45" s="325"/>
      <c r="ED45" s="54"/>
      <c r="EE45" s="73"/>
      <c r="EF45" s="73"/>
      <c r="EG45" s="73"/>
      <c r="EH45" s="73"/>
      <c r="EI45" s="73"/>
      <c r="EJ45" s="73"/>
      <c r="EK45" s="73"/>
      <c r="EL45" s="73"/>
      <c r="EY45" s="51"/>
      <c r="EZ45" s="455"/>
      <c r="FA45" s="54"/>
      <c r="FB45" s="327"/>
      <c r="FC45" s="325"/>
      <c r="FD45" s="54"/>
      <c r="FE45" s="73"/>
      <c r="FF45" s="73"/>
      <c r="FG45" s="73"/>
      <c r="FH45" s="73"/>
      <c r="FI45" s="73"/>
      <c r="FJ45" s="73"/>
      <c r="FK45" s="73"/>
      <c r="FL45" s="73"/>
      <c r="FY45" s="457"/>
      <c r="FZ45" s="325"/>
      <c r="GA45" s="73"/>
      <c r="GB45" s="457"/>
      <c r="GC45" s="325"/>
      <c r="GD45" s="73"/>
      <c r="GE45" s="73"/>
      <c r="GF45" s="73"/>
      <c r="GG45" s="73"/>
      <c r="GH45" s="73"/>
      <c r="GI45" s="73"/>
      <c r="GJ45" s="73"/>
      <c r="GK45" s="73"/>
      <c r="GL45" s="73"/>
    </row>
    <row r="46" spans="25:194" ht="15.75">
      <c r="Y46" s="746" t="s">
        <v>27</v>
      </c>
      <c r="Z46" s="752">
        <v>148</v>
      </c>
      <c r="AA46" s="311"/>
      <c r="AB46" s="747" t="s">
        <v>45</v>
      </c>
      <c r="AC46" s="753">
        <v>104</v>
      </c>
      <c r="AD46" s="311"/>
      <c r="AY46" s="323"/>
      <c r="AZ46" s="325"/>
      <c r="BA46" s="54"/>
      <c r="BB46" s="327"/>
      <c r="BC46" s="325"/>
      <c r="BD46" s="54"/>
      <c r="BE46" s="73"/>
      <c r="BF46" s="73"/>
      <c r="BG46" s="54"/>
      <c r="BH46" s="73"/>
      <c r="BI46" s="73"/>
      <c r="BJ46" s="54"/>
      <c r="BK46" s="73"/>
      <c r="BL46" s="73"/>
      <c r="BY46" s="458"/>
      <c r="BZ46" s="325"/>
      <c r="CA46" s="54"/>
      <c r="CB46" s="458"/>
      <c r="CC46" s="40"/>
      <c r="CD46" s="54"/>
      <c r="CE46" s="73"/>
      <c r="CF46" s="73"/>
      <c r="CG46" s="54"/>
      <c r="CH46" s="73"/>
      <c r="CI46" s="73"/>
      <c r="CJ46" s="73"/>
      <c r="CK46" s="73"/>
      <c r="CL46" s="73"/>
      <c r="CY46" s="327"/>
      <c r="CZ46" s="325"/>
      <c r="DA46" s="54"/>
      <c r="DB46" s="327"/>
      <c r="DC46" s="325"/>
      <c r="DD46" s="54"/>
      <c r="DE46" s="73"/>
      <c r="DF46" s="73"/>
      <c r="DG46" s="73"/>
      <c r="DH46" s="73"/>
      <c r="DI46" s="73"/>
      <c r="DJ46" s="54"/>
      <c r="DK46" s="73"/>
      <c r="DL46" s="73"/>
      <c r="DY46" s="51"/>
      <c r="DZ46" s="325"/>
      <c r="EA46" s="54"/>
      <c r="EB46" s="51"/>
      <c r="EC46" s="325"/>
      <c r="ED46" s="54"/>
      <c r="EE46" s="73"/>
      <c r="EF46" s="73"/>
      <c r="EG46" s="73"/>
      <c r="EH46" s="73"/>
      <c r="EI46" s="73"/>
      <c r="EJ46" s="73"/>
      <c r="EK46" s="73"/>
      <c r="EL46" s="73"/>
      <c r="EY46" s="51"/>
      <c r="EZ46" s="455"/>
      <c r="FA46" s="54"/>
      <c r="FB46" s="327"/>
      <c r="FC46" s="325"/>
      <c r="FD46" s="54"/>
      <c r="FE46" s="73"/>
      <c r="FF46" s="73"/>
      <c r="FG46" s="73"/>
      <c r="FH46" s="73"/>
      <c r="FI46" s="73"/>
      <c r="FJ46" s="73"/>
      <c r="FK46" s="73"/>
      <c r="FL46" s="73"/>
      <c r="FY46" s="457"/>
      <c r="FZ46" s="325"/>
      <c r="GA46" s="73"/>
      <c r="GB46" s="457"/>
      <c r="GC46" s="325"/>
      <c r="GD46" s="73"/>
      <c r="GE46" s="73"/>
      <c r="GF46" s="73"/>
      <c r="GG46" s="73"/>
      <c r="GH46" s="73"/>
      <c r="GI46" s="73"/>
      <c r="GJ46" s="73"/>
      <c r="GK46" s="73"/>
      <c r="GL46" s="73"/>
    </row>
    <row r="47" spans="25:194" ht="15.75">
      <c r="Y47" s="747" t="s">
        <v>34</v>
      </c>
      <c r="Z47" s="753">
        <v>148</v>
      </c>
      <c r="AA47" s="311"/>
      <c r="AB47" s="744" t="s">
        <v>72</v>
      </c>
      <c r="AC47" s="750">
        <v>103</v>
      </c>
      <c r="AD47" s="311"/>
      <c r="AY47" s="323"/>
      <c r="AZ47" s="325"/>
      <c r="BA47" s="54"/>
      <c r="BB47" s="327"/>
      <c r="BC47" s="325"/>
      <c r="BD47" s="54"/>
      <c r="BE47" s="73"/>
      <c r="BF47" s="73"/>
      <c r="BG47" s="54"/>
      <c r="BH47" s="73"/>
      <c r="BI47" s="73"/>
      <c r="BJ47" s="54"/>
      <c r="BK47" s="73"/>
      <c r="BL47" s="73"/>
      <c r="BY47" s="458"/>
      <c r="BZ47" s="325"/>
      <c r="CA47" s="54"/>
      <c r="CB47" s="458"/>
      <c r="CC47" s="40"/>
      <c r="CD47" s="54"/>
      <c r="CE47" s="73"/>
      <c r="CF47" s="73"/>
      <c r="CG47" s="54"/>
      <c r="CH47" s="73"/>
      <c r="CI47" s="73"/>
      <c r="CJ47" s="73"/>
      <c r="CK47" s="73"/>
      <c r="CL47" s="73"/>
      <c r="CY47" s="51"/>
      <c r="CZ47" s="325"/>
      <c r="DA47" s="54"/>
      <c r="DB47" s="51"/>
      <c r="DC47" s="325"/>
      <c r="DD47" s="54"/>
      <c r="DE47" s="73"/>
      <c r="DF47" s="73"/>
      <c r="DG47" s="73"/>
      <c r="DH47" s="73"/>
      <c r="DI47" s="73"/>
      <c r="DJ47" s="54"/>
      <c r="DK47" s="73"/>
      <c r="DL47" s="73"/>
      <c r="DY47" s="51"/>
      <c r="DZ47" s="325"/>
      <c r="EA47" s="54"/>
      <c r="EB47" s="51"/>
      <c r="EC47" s="325"/>
      <c r="ED47" s="54"/>
      <c r="EE47" s="73"/>
      <c r="EF47" s="73"/>
      <c r="EG47" s="73"/>
      <c r="EH47" s="73"/>
      <c r="EI47" s="73"/>
      <c r="EJ47" s="73"/>
      <c r="EK47" s="73"/>
      <c r="EL47" s="73"/>
      <c r="EY47" s="327"/>
      <c r="EZ47" s="455"/>
      <c r="FA47" s="54"/>
      <c r="FB47" s="51"/>
      <c r="FC47" s="325"/>
      <c r="FD47" s="54"/>
      <c r="FE47" s="73"/>
      <c r="FF47" s="73"/>
      <c r="FG47" s="73"/>
      <c r="FH47" s="73"/>
      <c r="FI47" s="73"/>
      <c r="FJ47" s="73"/>
      <c r="FK47" s="73"/>
      <c r="FL47" s="73"/>
      <c r="FY47" s="457"/>
      <c r="FZ47" s="325"/>
      <c r="GA47" s="73"/>
      <c r="GB47" s="457"/>
      <c r="GC47" s="325"/>
      <c r="GD47" s="73"/>
      <c r="GE47" s="73"/>
      <c r="GF47" s="73"/>
      <c r="GG47" s="73"/>
      <c r="GH47" s="73"/>
      <c r="GI47" s="73"/>
      <c r="GJ47" s="73"/>
      <c r="GK47" s="73"/>
      <c r="GL47" s="73"/>
    </row>
    <row r="48" spans="25:194" ht="15.75">
      <c r="Y48" s="747" t="s">
        <v>7</v>
      </c>
      <c r="Z48" s="753">
        <v>146</v>
      </c>
      <c r="AA48" s="311"/>
      <c r="AB48" s="747" t="s">
        <v>34</v>
      </c>
      <c r="AC48" s="753">
        <v>103</v>
      </c>
      <c r="AD48" s="311"/>
      <c r="AY48" s="323"/>
      <c r="AZ48" s="325"/>
      <c r="BA48" s="54"/>
      <c r="BB48" s="327"/>
      <c r="BC48" s="325"/>
      <c r="BD48" s="54"/>
      <c r="BE48" s="73"/>
      <c r="BF48" s="73"/>
      <c r="BG48" s="54"/>
      <c r="BH48" s="73"/>
      <c r="BI48" s="73"/>
      <c r="BJ48" s="54"/>
      <c r="BK48" s="73"/>
      <c r="BL48" s="73"/>
      <c r="BY48" s="458"/>
      <c r="BZ48" s="325"/>
      <c r="CA48" s="54"/>
      <c r="CB48" s="458"/>
      <c r="CC48" s="40"/>
      <c r="CD48" s="54"/>
      <c r="CE48" s="73"/>
      <c r="CF48" s="73"/>
      <c r="CG48" s="54"/>
      <c r="CH48" s="73"/>
      <c r="CI48" s="73"/>
      <c r="CJ48" s="73"/>
      <c r="CK48" s="73"/>
      <c r="CL48" s="73"/>
      <c r="CY48" s="327"/>
      <c r="CZ48" s="325"/>
      <c r="DA48" s="54"/>
      <c r="DB48" s="327"/>
      <c r="DC48" s="325"/>
      <c r="DD48" s="54"/>
      <c r="DE48" s="73"/>
      <c r="DF48" s="73"/>
      <c r="DG48" s="73"/>
      <c r="DH48" s="73"/>
      <c r="DI48" s="73"/>
      <c r="DJ48" s="54"/>
      <c r="DK48" s="73"/>
      <c r="DL48" s="73"/>
      <c r="DY48" s="51"/>
      <c r="DZ48" s="325"/>
      <c r="EA48" s="54"/>
      <c r="EB48" s="51"/>
      <c r="EC48" s="325"/>
      <c r="ED48" s="54"/>
      <c r="EE48" s="73"/>
      <c r="EF48" s="73"/>
      <c r="EG48" s="73"/>
      <c r="EH48" s="73"/>
      <c r="EI48" s="73"/>
      <c r="EJ48" s="73"/>
      <c r="EK48" s="73"/>
      <c r="EL48" s="73"/>
      <c r="EY48" s="51"/>
      <c r="EZ48" s="455"/>
      <c r="FA48" s="54"/>
      <c r="FB48" s="327"/>
      <c r="FC48" s="325"/>
      <c r="FD48" s="54"/>
      <c r="FE48" s="73"/>
      <c r="FF48" s="73"/>
      <c r="FG48" s="73"/>
      <c r="FH48" s="73"/>
      <c r="FI48" s="73"/>
      <c r="FJ48" s="73"/>
      <c r="FK48" s="73"/>
      <c r="FL48" s="73"/>
      <c r="FY48" s="457"/>
      <c r="FZ48" s="325"/>
      <c r="GA48" s="73"/>
      <c r="GB48" s="457"/>
      <c r="GC48" s="325"/>
      <c r="GD48" s="73"/>
      <c r="GE48" s="73"/>
      <c r="GF48" s="73"/>
      <c r="GG48" s="73"/>
      <c r="GH48" s="73"/>
      <c r="GI48" s="73"/>
      <c r="GJ48" s="73"/>
      <c r="GK48" s="73"/>
      <c r="GL48" s="73"/>
    </row>
    <row r="49" spans="25:194" ht="15.75">
      <c r="Y49" s="746" t="s">
        <v>29</v>
      </c>
      <c r="Z49" s="752">
        <v>145</v>
      </c>
      <c r="AA49" s="311"/>
      <c r="AB49" s="743" t="s">
        <v>9</v>
      </c>
      <c r="AC49" s="749">
        <v>101</v>
      </c>
      <c r="AD49" s="311"/>
      <c r="AY49" s="323"/>
      <c r="AZ49" s="325"/>
      <c r="BA49" s="54"/>
      <c r="BB49" s="327"/>
      <c r="BC49" s="325"/>
      <c r="BD49" s="54"/>
      <c r="BE49" s="73"/>
      <c r="BF49" s="73"/>
      <c r="BG49" s="54"/>
      <c r="BH49" s="73"/>
      <c r="BI49" s="73"/>
      <c r="BJ49" s="54"/>
      <c r="BK49" s="73"/>
      <c r="BL49" s="73"/>
      <c r="BY49" s="458"/>
      <c r="BZ49" s="325"/>
      <c r="CA49" s="54"/>
      <c r="CB49" s="458"/>
      <c r="CC49" s="40"/>
      <c r="CD49" s="54"/>
      <c r="CE49" s="73"/>
      <c r="CF49" s="73"/>
      <c r="CG49" s="54"/>
      <c r="CH49" s="73"/>
      <c r="CI49" s="73"/>
      <c r="CJ49" s="73"/>
      <c r="CK49" s="73"/>
      <c r="CL49" s="73"/>
      <c r="CY49" s="327"/>
      <c r="CZ49" s="325"/>
      <c r="DA49" s="73"/>
      <c r="DB49" s="51"/>
      <c r="DC49" s="325"/>
      <c r="DD49" s="73"/>
      <c r="DE49" s="73"/>
      <c r="DF49" s="73"/>
      <c r="DG49" s="73"/>
      <c r="DH49" s="73"/>
      <c r="DI49" s="73"/>
      <c r="DJ49" s="73"/>
      <c r="DK49" s="73"/>
      <c r="DL49" s="73"/>
      <c r="DY49" s="51"/>
      <c r="DZ49" s="325"/>
      <c r="EA49" s="54"/>
      <c r="EB49" s="51"/>
      <c r="EC49" s="325"/>
      <c r="ED49" s="54"/>
      <c r="EE49" s="73"/>
      <c r="EF49" s="73"/>
      <c r="EG49" s="73"/>
      <c r="EH49" s="73"/>
      <c r="EI49" s="73"/>
      <c r="EJ49" s="73"/>
      <c r="EK49" s="73"/>
      <c r="EL49" s="73"/>
      <c r="EY49" s="51"/>
      <c r="EZ49" s="455"/>
      <c r="FA49" s="54"/>
      <c r="FB49" s="327"/>
      <c r="FC49" s="325"/>
      <c r="FD49" s="54"/>
      <c r="FE49" s="73"/>
      <c r="FF49" s="73"/>
      <c r="FG49" s="73"/>
      <c r="FH49" s="73"/>
      <c r="FI49" s="73"/>
      <c r="FJ49" s="73"/>
      <c r="FK49" s="73"/>
      <c r="FL49" s="73"/>
      <c r="FY49" s="457"/>
      <c r="FZ49" s="325"/>
      <c r="GA49" s="73"/>
      <c r="GB49" s="457"/>
      <c r="GC49" s="325"/>
      <c r="GD49" s="73"/>
      <c r="GE49" s="73"/>
      <c r="GF49" s="73"/>
      <c r="GG49" s="73"/>
      <c r="GH49" s="73"/>
      <c r="GI49" s="73"/>
      <c r="GJ49" s="73"/>
      <c r="GK49" s="73"/>
      <c r="GL49" s="73"/>
    </row>
    <row r="50" spans="25:194" ht="15.75">
      <c r="Y50" s="746" t="s">
        <v>219</v>
      </c>
      <c r="Z50" s="752">
        <v>144</v>
      </c>
      <c r="AA50" s="311"/>
      <c r="AB50" s="743" t="s">
        <v>159</v>
      </c>
      <c r="AC50" s="749">
        <v>100</v>
      </c>
      <c r="AD50" s="311"/>
      <c r="AY50" s="323"/>
      <c r="AZ50" s="325"/>
      <c r="BA50" s="54"/>
      <c r="BB50" s="327"/>
      <c r="BC50" s="325"/>
      <c r="BD50" s="54"/>
      <c r="BE50" s="73"/>
      <c r="BF50" s="73"/>
      <c r="BG50" s="54"/>
      <c r="BH50" s="73"/>
      <c r="BI50" s="73"/>
      <c r="BJ50" s="54"/>
      <c r="BK50" s="73"/>
      <c r="BL50" s="73"/>
      <c r="BY50" s="458"/>
      <c r="BZ50" s="325"/>
      <c r="CA50" s="54"/>
      <c r="CB50" s="458"/>
      <c r="CC50" s="40"/>
      <c r="CD50" s="54"/>
      <c r="CE50" s="73"/>
      <c r="CF50" s="73"/>
      <c r="CG50" s="54"/>
      <c r="CH50" s="73"/>
      <c r="CI50" s="73"/>
      <c r="CJ50" s="73"/>
      <c r="CK50" s="73"/>
      <c r="CL50" s="73"/>
      <c r="CY50" s="327"/>
      <c r="CZ50" s="325"/>
      <c r="DA50" s="73"/>
      <c r="DB50" s="327"/>
      <c r="DC50" s="325"/>
      <c r="DD50" s="73"/>
      <c r="DE50" s="73"/>
      <c r="DF50" s="73"/>
      <c r="DG50" s="73"/>
      <c r="DH50" s="73"/>
      <c r="DI50" s="73"/>
      <c r="DJ50" s="73"/>
      <c r="DK50" s="73"/>
      <c r="DL50" s="73"/>
      <c r="DY50" s="51"/>
      <c r="DZ50" s="325"/>
      <c r="EA50" s="54"/>
      <c r="EB50" s="51"/>
      <c r="EC50" s="325"/>
      <c r="ED50" s="54"/>
      <c r="EE50" s="73"/>
      <c r="EF50" s="73"/>
      <c r="EG50" s="73"/>
      <c r="EH50" s="73"/>
      <c r="EI50" s="73"/>
      <c r="EJ50" s="73"/>
      <c r="EK50" s="73"/>
      <c r="EL50" s="73"/>
      <c r="EY50" s="327"/>
      <c r="EZ50" s="455"/>
      <c r="FA50" s="54"/>
      <c r="FB50" s="51"/>
      <c r="FC50" s="325"/>
      <c r="FD50" s="54"/>
      <c r="FE50" s="73"/>
      <c r="FF50" s="73"/>
      <c r="FG50" s="73"/>
      <c r="FH50" s="73"/>
      <c r="FI50" s="73"/>
      <c r="FJ50" s="73"/>
      <c r="FK50" s="73"/>
      <c r="FL50" s="73"/>
      <c r="FY50" s="457"/>
      <c r="FZ50" s="325"/>
      <c r="GA50" s="73"/>
      <c r="GB50" s="457"/>
      <c r="GC50" s="325"/>
      <c r="GD50" s="73"/>
      <c r="GE50" s="73"/>
      <c r="GF50" s="73"/>
      <c r="GG50" s="73"/>
      <c r="GH50" s="73"/>
      <c r="GI50" s="73"/>
      <c r="GJ50" s="73"/>
      <c r="GK50" s="73"/>
      <c r="GL50" s="73"/>
    </row>
    <row r="51" spans="25:194" ht="15.75">
      <c r="Y51" s="744" t="s">
        <v>72</v>
      </c>
      <c r="Z51" s="750">
        <v>141</v>
      </c>
      <c r="AA51" s="311"/>
      <c r="AB51" s="743" t="s">
        <v>96</v>
      </c>
      <c r="AC51" s="749">
        <v>99</v>
      </c>
      <c r="AD51" s="311"/>
      <c r="AY51" s="323"/>
      <c r="AZ51" s="325"/>
      <c r="BA51" s="54"/>
      <c r="BB51" s="327"/>
      <c r="BC51" s="325"/>
      <c r="BD51" s="54"/>
      <c r="BG51" s="3"/>
      <c r="BJ51" s="54"/>
      <c r="BK51" s="73"/>
      <c r="BL51" s="73"/>
      <c r="BY51" s="458"/>
      <c r="BZ51" s="325"/>
      <c r="CA51" s="54"/>
      <c r="CB51" s="458"/>
      <c r="CC51" s="40"/>
      <c r="CD51" s="54"/>
      <c r="CE51" s="73"/>
      <c r="CF51" s="73"/>
      <c r="CG51" s="54"/>
      <c r="CH51" s="73"/>
      <c r="CI51" s="73"/>
      <c r="CJ51" s="73"/>
      <c r="CK51" s="73"/>
      <c r="CL51" s="73"/>
      <c r="CY51" s="327"/>
      <c r="CZ51" s="325"/>
      <c r="DA51" s="73"/>
      <c r="DB51" s="51"/>
      <c r="DC51" s="325"/>
      <c r="DD51" s="73"/>
      <c r="DE51" s="73"/>
      <c r="DF51" s="73"/>
      <c r="DG51" s="73"/>
      <c r="DH51" s="73"/>
      <c r="DI51" s="73"/>
      <c r="DJ51" s="73"/>
      <c r="DK51" s="73"/>
      <c r="DL51" s="73"/>
      <c r="DY51" s="51"/>
      <c r="DZ51" s="325"/>
      <c r="EA51" s="54"/>
      <c r="EB51" s="51"/>
      <c r="EC51" s="325"/>
      <c r="ED51" s="54"/>
      <c r="EE51" s="73"/>
      <c r="EF51" s="73"/>
      <c r="EG51" s="73"/>
      <c r="EH51" s="73"/>
      <c r="EI51" s="73"/>
      <c r="EJ51" s="73"/>
      <c r="EK51" s="73"/>
      <c r="EL51" s="73"/>
      <c r="EY51" s="327"/>
      <c r="EZ51" s="455"/>
      <c r="FA51" s="54"/>
      <c r="FB51" s="327"/>
      <c r="FC51" s="325"/>
      <c r="FD51" s="54"/>
      <c r="FE51" s="73"/>
      <c r="FF51" s="73"/>
      <c r="FG51" s="73"/>
      <c r="FH51" s="73"/>
      <c r="FI51" s="73"/>
      <c r="FJ51" s="73"/>
      <c r="FK51" s="73"/>
      <c r="FL51" s="73"/>
      <c r="FY51" s="457"/>
      <c r="FZ51" s="325"/>
      <c r="GA51" s="73"/>
      <c r="GB51" s="457"/>
      <c r="GC51" s="325"/>
      <c r="GD51" s="73"/>
      <c r="GE51" s="73"/>
      <c r="GF51" s="73"/>
      <c r="GG51" s="73"/>
      <c r="GH51" s="73"/>
      <c r="GI51" s="73"/>
      <c r="GJ51" s="73"/>
      <c r="GK51" s="73"/>
      <c r="GL51" s="73"/>
    </row>
    <row r="52" spans="25:194" ht="15.75">
      <c r="Y52" s="744" t="s">
        <v>15</v>
      </c>
      <c r="Z52" s="750">
        <v>138</v>
      </c>
      <c r="AA52" s="311"/>
      <c r="AB52" s="745" t="s">
        <v>100</v>
      </c>
      <c r="AC52" s="751">
        <v>97</v>
      </c>
      <c r="AD52" s="311"/>
      <c r="AY52" s="323"/>
      <c r="AZ52" s="325"/>
      <c r="BA52" s="54"/>
      <c r="BB52" s="327"/>
      <c r="BC52" s="325"/>
      <c r="BD52" s="54"/>
      <c r="BG52" s="3"/>
      <c r="BJ52" s="54"/>
      <c r="BK52" s="73"/>
      <c r="BL52" s="73"/>
      <c r="BY52" s="458"/>
      <c r="BZ52" s="325"/>
      <c r="CA52" s="54"/>
      <c r="CB52" s="458"/>
      <c r="CC52" s="40"/>
      <c r="CD52" s="54"/>
      <c r="CE52" s="73"/>
      <c r="CF52" s="73"/>
      <c r="CG52" s="54"/>
      <c r="CH52" s="73"/>
      <c r="CI52" s="73"/>
      <c r="CJ52" s="73"/>
      <c r="CK52" s="73"/>
      <c r="CL52" s="73"/>
      <c r="CY52" s="51"/>
      <c r="CZ52" s="325"/>
      <c r="DA52" s="73"/>
      <c r="DB52" s="51"/>
      <c r="DC52" s="325"/>
      <c r="DD52" s="73"/>
      <c r="DE52" s="73"/>
      <c r="DF52" s="73"/>
      <c r="DG52" s="73"/>
      <c r="DH52" s="73"/>
      <c r="DI52" s="73"/>
      <c r="DJ52" s="73"/>
      <c r="DK52" s="73"/>
      <c r="DL52" s="73"/>
      <c r="DY52" s="51"/>
      <c r="DZ52" s="325"/>
      <c r="EA52" s="54"/>
      <c r="EB52" s="51"/>
      <c r="EC52" s="325"/>
      <c r="ED52" s="54"/>
      <c r="EE52" s="73"/>
      <c r="EF52" s="73"/>
      <c r="EG52" s="73"/>
      <c r="EH52" s="73"/>
      <c r="EI52" s="73"/>
      <c r="EJ52" s="73"/>
      <c r="EK52" s="73"/>
      <c r="EL52" s="73"/>
      <c r="EY52" s="327"/>
      <c r="EZ52" s="455"/>
      <c r="FA52" s="54"/>
      <c r="FB52" s="327"/>
      <c r="FC52" s="325"/>
      <c r="FD52" s="54"/>
      <c r="FE52" s="73"/>
      <c r="FF52" s="73"/>
      <c r="FG52" s="73"/>
      <c r="FH52" s="73"/>
      <c r="FI52" s="73"/>
      <c r="FJ52" s="73"/>
      <c r="FK52" s="73"/>
      <c r="FL52" s="73"/>
      <c r="FY52" s="457"/>
      <c r="FZ52" s="325"/>
      <c r="GA52" s="73"/>
      <c r="GB52" s="457"/>
      <c r="GC52" s="325"/>
      <c r="GD52" s="73"/>
      <c r="GE52" s="73"/>
      <c r="GF52" s="73"/>
      <c r="GG52" s="73"/>
      <c r="GH52" s="73"/>
      <c r="GI52" s="73"/>
      <c r="GJ52" s="73"/>
      <c r="GK52" s="73"/>
      <c r="GL52" s="73"/>
    </row>
    <row r="53" spans="25:194" ht="15.75">
      <c r="Y53" s="745" t="s">
        <v>100</v>
      </c>
      <c r="Z53" s="751">
        <v>138</v>
      </c>
      <c r="AA53" s="311"/>
      <c r="AB53" s="746" t="s">
        <v>219</v>
      </c>
      <c r="AC53" s="752">
        <v>94</v>
      </c>
      <c r="AD53" s="311"/>
      <c r="AY53" s="323"/>
      <c r="AZ53" s="325"/>
      <c r="BA53" s="54"/>
      <c r="BB53" s="327"/>
      <c r="BC53" s="325"/>
      <c r="BD53" s="54"/>
      <c r="BG53" s="3"/>
      <c r="BJ53" s="54"/>
      <c r="BK53" s="73"/>
      <c r="BL53" s="73"/>
      <c r="BY53" s="458"/>
      <c r="BZ53" s="325"/>
      <c r="CA53" s="54"/>
      <c r="CB53" s="458"/>
      <c r="CC53" s="40"/>
      <c r="CD53" s="54"/>
      <c r="CG53" s="3"/>
      <c r="CJ53" s="3"/>
      <c r="CY53" s="51"/>
      <c r="CZ53" s="325"/>
      <c r="DA53" s="73"/>
      <c r="DB53" s="51"/>
      <c r="DC53" s="325"/>
      <c r="DD53" s="73"/>
      <c r="DG53" s="73"/>
      <c r="DH53" s="73"/>
      <c r="DI53" s="73"/>
      <c r="DJ53" s="73"/>
      <c r="DK53" s="73"/>
      <c r="DL53" s="73"/>
      <c r="DY53" s="51"/>
      <c r="DZ53" s="325"/>
      <c r="EA53" s="73"/>
      <c r="EB53" s="51"/>
      <c r="EC53" s="325"/>
      <c r="ED53" s="54"/>
      <c r="EJ53" s="73"/>
      <c r="EK53" s="73"/>
      <c r="EL53" s="73"/>
      <c r="EY53" s="327"/>
      <c r="EZ53" s="455"/>
      <c r="FA53" s="54"/>
      <c r="FB53" s="51"/>
      <c r="FC53" s="325"/>
      <c r="FD53" s="54"/>
      <c r="FJ53" s="73"/>
      <c r="FK53" s="73"/>
      <c r="FL53" s="73"/>
      <c r="FY53" s="457"/>
      <c r="FZ53" s="325"/>
      <c r="GA53" s="73"/>
      <c r="GB53" s="457"/>
      <c r="GC53" s="325"/>
      <c r="GD53" s="73"/>
      <c r="GE53" s="73"/>
      <c r="GF53" s="73"/>
      <c r="GG53" s="73"/>
      <c r="GH53" s="73"/>
      <c r="GI53" s="73"/>
      <c r="GJ53" s="73"/>
      <c r="GK53" s="73"/>
      <c r="GL53" s="73"/>
    </row>
    <row r="54" spans="25:194" ht="15.75">
      <c r="Y54" s="745" t="s">
        <v>216</v>
      </c>
      <c r="Z54" s="751">
        <v>133</v>
      </c>
      <c r="AA54" s="315"/>
      <c r="AB54" s="745" t="s">
        <v>59</v>
      </c>
      <c r="AC54" s="751">
        <v>91</v>
      </c>
      <c r="AD54" s="315"/>
      <c r="BD54" s="54"/>
      <c r="BG54" s="3"/>
      <c r="BJ54" s="3"/>
      <c r="CD54" s="54"/>
      <c r="CG54" s="3"/>
      <c r="CJ54" s="3"/>
      <c r="ED54" s="54"/>
      <c r="FD54" s="54"/>
    </row>
    <row r="55" spans="25:194" ht="15.75">
      <c r="Y55" s="747" t="s">
        <v>45</v>
      </c>
      <c r="Z55" s="753">
        <v>133</v>
      </c>
      <c r="AA55" s="315"/>
      <c r="AB55" s="746" t="s">
        <v>29</v>
      </c>
      <c r="AC55" s="752">
        <v>91</v>
      </c>
      <c r="AD55" s="315"/>
      <c r="BD55" s="54"/>
      <c r="BG55" s="3"/>
      <c r="BJ55" s="3"/>
      <c r="CD55" s="54"/>
      <c r="CG55" s="3"/>
      <c r="CJ55" s="3"/>
      <c r="ED55" s="54"/>
      <c r="FD55" s="54"/>
    </row>
    <row r="56" spans="25:194" ht="15.75">
      <c r="Y56" s="744" t="s">
        <v>214</v>
      </c>
      <c r="Z56" s="750">
        <v>128</v>
      </c>
      <c r="AA56" s="315"/>
      <c r="AB56" s="746" t="s">
        <v>170</v>
      </c>
      <c r="AC56" s="752">
        <v>87</v>
      </c>
      <c r="AD56" s="315"/>
      <c r="BD56" s="54"/>
      <c r="BJ56" s="3"/>
      <c r="CD56" s="54"/>
      <c r="CG56" s="3"/>
      <c r="CJ56" s="3"/>
      <c r="ED56" s="54"/>
      <c r="FD56" s="54"/>
    </row>
    <row r="57" spans="25:194" ht="15.75">
      <c r="Y57" s="746" t="s">
        <v>170</v>
      </c>
      <c r="Z57" s="752">
        <v>123</v>
      </c>
      <c r="AA57" s="315"/>
      <c r="AB57" s="745" t="s">
        <v>216</v>
      </c>
      <c r="AC57" s="751">
        <v>77</v>
      </c>
      <c r="AD57" s="315"/>
      <c r="BD57" s="54"/>
      <c r="BJ57" s="3"/>
      <c r="CD57" s="54"/>
      <c r="CG57" s="3"/>
      <c r="CJ57" s="3"/>
      <c r="ED57" s="54"/>
      <c r="FD57" s="54"/>
    </row>
    <row r="58" spans="25:194" ht="15.75">
      <c r="Y58" s="745" t="s">
        <v>217</v>
      </c>
      <c r="Z58" s="751">
        <v>108</v>
      </c>
      <c r="AA58" s="315"/>
      <c r="AB58" s="745" t="s">
        <v>217</v>
      </c>
      <c r="AC58" s="751">
        <v>69</v>
      </c>
      <c r="AD58" s="315"/>
      <c r="BD58" s="54"/>
      <c r="BJ58" s="3"/>
      <c r="CD58" s="54"/>
      <c r="ED58" s="54"/>
      <c r="FD58" s="54"/>
    </row>
    <row r="59" spans="25:194" ht="15">
      <c r="Y59" s="315"/>
      <c r="Z59" s="315"/>
      <c r="AA59" s="315"/>
      <c r="AB59" s="315"/>
      <c r="AC59" s="315"/>
      <c r="AD59" s="315"/>
    </row>
    <row r="60" spans="25:194" ht="15">
      <c r="Y60" s="315"/>
      <c r="Z60" s="315"/>
      <c r="AA60" s="315"/>
      <c r="AB60" s="315"/>
      <c r="AC60" s="315"/>
      <c r="AD60" s="315"/>
    </row>
    <row r="61" spans="25:194" ht="15">
      <c r="Y61" s="315"/>
      <c r="Z61" s="315"/>
      <c r="AA61" s="315"/>
      <c r="AB61" s="315"/>
      <c r="AC61" s="315"/>
      <c r="AD61" s="315"/>
    </row>
    <row r="62" spans="25:194" ht="15">
      <c r="Y62" s="315"/>
      <c r="Z62" s="315"/>
      <c r="AA62" s="315"/>
      <c r="AB62" s="315"/>
      <c r="AC62" s="315"/>
      <c r="AD62" s="315"/>
    </row>
    <row r="63" spans="25:194" ht="15">
      <c r="Y63" s="315"/>
      <c r="Z63" s="315"/>
      <c r="AA63" s="315"/>
      <c r="AB63" s="315"/>
      <c r="AC63" s="315"/>
      <c r="AD63" s="315"/>
    </row>
    <row r="64" spans="25:194" ht="15">
      <c r="Y64" s="315"/>
      <c r="Z64" s="315"/>
      <c r="AA64" s="315"/>
      <c r="AB64" s="315"/>
      <c r="AC64" s="315"/>
      <c r="AD64" s="315"/>
    </row>
    <row r="65" spans="25:30" ht="15">
      <c r="Y65" s="315"/>
      <c r="Z65" s="315"/>
      <c r="AA65" s="315"/>
      <c r="AB65" s="315"/>
      <c r="AC65" s="315"/>
      <c r="AD65" s="315"/>
    </row>
    <row r="66" spans="25:30" ht="15">
      <c r="Y66" s="315"/>
      <c r="Z66" s="315"/>
      <c r="AA66" s="315"/>
      <c r="AB66" s="315"/>
      <c r="AC66" s="315"/>
      <c r="AD66" s="315"/>
    </row>
    <row r="67" spans="25:30" ht="15">
      <c r="Y67" s="315"/>
      <c r="Z67" s="315"/>
      <c r="AA67" s="315"/>
      <c r="AB67" s="315"/>
      <c r="AC67" s="315"/>
      <c r="AD67" s="315"/>
    </row>
    <row r="68" spans="25:30" ht="15">
      <c r="Y68" s="315"/>
      <c r="Z68" s="315"/>
      <c r="AA68" s="315"/>
      <c r="AB68" s="315"/>
      <c r="AC68" s="315"/>
      <c r="AD68" s="315"/>
    </row>
    <row r="69" spans="25:30" ht="15">
      <c r="Y69" s="315"/>
      <c r="Z69" s="315"/>
      <c r="AA69" s="315"/>
      <c r="AB69" s="315"/>
      <c r="AC69" s="315"/>
      <c r="AD69" s="315"/>
    </row>
    <row r="70" spans="25:30" ht="15">
      <c r="Y70" s="315"/>
      <c r="Z70" s="315"/>
      <c r="AA70" s="315"/>
      <c r="AB70" s="315"/>
      <c r="AC70" s="315"/>
      <c r="AD70" s="315"/>
    </row>
    <row r="71" spans="25:30" ht="15">
      <c r="Y71" s="315"/>
      <c r="Z71" s="315"/>
      <c r="AA71" s="315"/>
      <c r="AB71" s="315"/>
      <c r="AC71" s="315"/>
      <c r="AD71" s="315"/>
    </row>
    <row r="72" spans="25:30" ht="15">
      <c r="Y72" s="315"/>
      <c r="Z72" s="315"/>
      <c r="AA72" s="315"/>
      <c r="AB72" s="315"/>
      <c r="AC72" s="315"/>
      <c r="AD72" s="315"/>
    </row>
    <row r="73" spans="25:30" ht="15">
      <c r="Y73" s="315"/>
      <c r="Z73" s="315"/>
      <c r="AA73" s="315"/>
      <c r="AB73" s="315"/>
      <c r="AC73" s="315"/>
      <c r="AD73" s="315"/>
    </row>
    <row r="74" spans="25:30" ht="15">
      <c r="Y74" s="315"/>
      <c r="Z74" s="315"/>
      <c r="AA74" s="315"/>
      <c r="AB74" s="315"/>
      <c r="AC74" s="315"/>
      <c r="AD74" s="315"/>
    </row>
    <row r="75" spans="25:30" ht="15">
      <c r="Y75" s="315"/>
      <c r="Z75" s="315"/>
      <c r="AA75" s="315"/>
      <c r="AB75" s="315"/>
      <c r="AC75" s="315"/>
      <c r="AD75" s="315"/>
    </row>
    <row r="76" spans="25:30" ht="15">
      <c r="Y76" s="315"/>
      <c r="Z76" s="315"/>
      <c r="AA76" s="315"/>
      <c r="AB76" s="315"/>
      <c r="AC76" s="315"/>
      <c r="AD76" s="315"/>
    </row>
    <row r="77" spans="25:30" ht="15">
      <c r="Y77" s="315"/>
      <c r="Z77" s="315"/>
      <c r="AA77" s="315"/>
      <c r="AB77" s="315"/>
      <c r="AC77" s="315"/>
      <c r="AD77" s="315"/>
    </row>
    <row r="78" spans="25:30" ht="15">
      <c r="Y78" s="315"/>
      <c r="Z78" s="315"/>
      <c r="AA78" s="315"/>
      <c r="AB78" s="315"/>
      <c r="AC78" s="315"/>
      <c r="AD78" s="315"/>
    </row>
    <row r="79" spans="25:30" ht="15">
      <c r="Y79" s="315"/>
      <c r="Z79" s="315"/>
      <c r="AA79" s="315"/>
      <c r="AB79" s="315"/>
      <c r="AC79" s="315"/>
      <c r="AD79" s="315"/>
    </row>
    <row r="80" spans="25:30" ht="15">
      <c r="Y80" s="315"/>
      <c r="Z80" s="315"/>
      <c r="AA80" s="315"/>
      <c r="AB80" s="315"/>
      <c r="AC80" s="315"/>
      <c r="AD80" s="315"/>
    </row>
    <row r="81" spans="25:30" ht="15">
      <c r="Y81" s="315"/>
      <c r="Z81" s="315"/>
      <c r="AA81" s="315"/>
      <c r="AB81" s="315"/>
      <c r="AC81" s="315"/>
      <c r="AD81" s="315"/>
    </row>
    <row r="82" spans="25:30" ht="15">
      <c r="Y82" s="315"/>
      <c r="Z82" s="315"/>
      <c r="AA82" s="315"/>
      <c r="AB82" s="315"/>
      <c r="AC82" s="315"/>
      <c r="AD82" s="315"/>
    </row>
    <row r="83" spans="25:30" ht="15">
      <c r="Y83" s="315"/>
      <c r="Z83" s="315"/>
      <c r="AA83" s="315"/>
      <c r="AB83" s="315"/>
      <c r="AC83" s="315"/>
      <c r="AD83" s="315"/>
    </row>
    <row r="84" spans="25:30" ht="15">
      <c r="Y84" s="315"/>
      <c r="Z84" s="315"/>
      <c r="AA84" s="315"/>
      <c r="AB84" s="315"/>
      <c r="AC84" s="315"/>
      <c r="AD84" s="315"/>
    </row>
    <row r="85" spans="25:30" ht="15">
      <c r="Y85" s="315"/>
      <c r="Z85" s="315"/>
      <c r="AA85" s="315"/>
      <c r="AB85" s="315"/>
      <c r="AC85" s="315"/>
      <c r="AD85" s="315"/>
    </row>
    <row r="86" spans="25:30" ht="15">
      <c r="Y86" s="315"/>
      <c r="Z86" s="315"/>
      <c r="AA86" s="315"/>
      <c r="AB86" s="315"/>
      <c r="AC86" s="315"/>
      <c r="AD86" s="315"/>
    </row>
    <row r="87" spans="25:30" ht="15">
      <c r="Y87" s="315"/>
      <c r="Z87" s="315"/>
      <c r="AA87" s="315"/>
      <c r="AB87" s="315"/>
      <c r="AC87" s="315"/>
      <c r="AD87" s="315"/>
    </row>
    <row r="88" spans="25:30" ht="15">
      <c r="Y88" s="315"/>
      <c r="Z88" s="315"/>
      <c r="AA88" s="315"/>
      <c r="AB88" s="315"/>
      <c r="AC88" s="315"/>
      <c r="AD88" s="315"/>
    </row>
    <row r="89" spans="25:30" ht="15">
      <c r="Y89" s="315"/>
      <c r="Z89" s="315"/>
      <c r="AA89" s="315"/>
      <c r="AB89" s="315"/>
      <c r="AC89" s="315"/>
      <c r="AD89" s="315"/>
    </row>
    <row r="90" spans="25:30" ht="15">
      <c r="Y90" s="315"/>
      <c r="Z90" s="315"/>
      <c r="AA90" s="315"/>
      <c r="AB90" s="315"/>
      <c r="AC90" s="315"/>
      <c r="AD90" s="315"/>
    </row>
    <row r="91" spans="25:30" ht="15">
      <c r="Y91" s="315"/>
      <c r="Z91" s="315"/>
      <c r="AA91" s="315"/>
      <c r="AB91" s="315"/>
      <c r="AC91" s="315"/>
      <c r="AD91" s="315"/>
    </row>
    <row r="92" spans="25:30" ht="15">
      <c r="Y92" s="315"/>
      <c r="Z92" s="315"/>
      <c r="AA92" s="315"/>
      <c r="AB92" s="315"/>
      <c r="AC92" s="315"/>
      <c r="AD92" s="315"/>
    </row>
    <row r="93" spans="25:30" ht="15">
      <c r="Y93" s="315"/>
      <c r="Z93" s="315"/>
      <c r="AA93" s="315"/>
      <c r="AB93" s="315"/>
      <c r="AC93" s="315"/>
      <c r="AD93" s="315"/>
    </row>
    <row r="94" spans="25:30" ht="15">
      <c r="Y94" s="315"/>
      <c r="Z94" s="315"/>
      <c r="AA94" s="315"/>
      <c r="AB94" s="315"/>
      <c r="AC94" s="315"/>
      <c r="AD94" s="315"/>
    </row>
    <row r="95" spans="25:30" ht="15">
      <c r="Y95" s="315"/>
      <c r="Z95" s="315"/>
      <c r="AA95" s="315"/>
      <c r="AB95" s="315"/>
      <c r="AC95" s="315"/>
      <c r="AD95" s="315"/>
    </row>
    <row r="96" spans="25:30" ht="15">
      <c r="Y96" s="315"/>
      <c r="Z96" s="315"/>
      <c r="AA96" s="315"/>
      <c r="AB96" s="315"/>
      <c r="AC96" s="315"/>
      <c r="AD96" s="315"/>
    </row>
    <row r="97" spans="25:30" ht="15">
      <c r="Y97" s="315"/>
      <c r="Z97" s="315"/>
      <c r="AA97" s="315"/>
      <c r="AB97" s="315"/>
      <c r="AC97" s="315"/>
      <c r="AD97" s="315"/>
    </row>
    <row r="98" spans="25:30" ht="15">
      <c r="Y98" s="315"/>
      <c r="Z98" s="315"/>
      <c r="AA98" s="315"/>
      <c r="AB98" s="315"/>
      <c r="AC98" s="315"/>
      <c r="AD98" s="315"/>
    </row>
    <row r="99" spans="25:30" ht="15">
      <c r="Y99" s="315"/>
      <c r="Z99" s="315"/>
      <c r="AA99" s="315"/>
      <c r="AB99" s="315"/>
      <c r="AC99" s="315"/>
      <c r="AD99" s="315"/>
    </row>
    <row r="100" spans="25:30" ht="15">
      <c r="Y100" s="315"/>
      <c r="Z100" s="315"/>
      <c r="AA100" s="315"/>
      <c r="AB100" s="315"/>
      <c r="AC100" s="315"/>
      <c r="AD100" s="315"/>
    </row>
    <row r="101" spans="25:30" ht="15">
      <c r="Y101" s="315"/>
      <c r="Z101" s="315"/>
      <c r="AA101" s="315"/>
      <c r="AB101" s="315"/>
      <c r="AC101" s="315"/>
      <c r="AD101" s="315"/>
    </row>
    <row r="102" spans="25:30" ht="15">
      <c r="Y102" s="315"/>
      <c r="Z102" s="315"/>
      <c r="AA102" s="315"/>
      <c r="AB102" s="315"/>
      <c r="AC102" s="315"/>
      <c r="AD102" s="315"/>
    </row>
    <row r="103" spans="25:30" ht="15">
      <c r="Y103" s="315"/>
      <c r="Z103" s="315"/>
      <c r="AA103" s="315"/>
      <c r="AB103" s="315"/>
      <c r="AC103" s="315"/>
      <c r="AD103" s="315"/>
    </row>
    <row r="104" spans="25:30" ht="15">
      <c r="Y104" s="315"/>
      <c r="Z104" s="315"/>
      <c r="AA104" s="315"/>
      <c r="AB104" s="315"/>
      <c r="AC104" s="315"/>
      <c r="AD104" s="315"/>
    </row>
    <row r="105" spans="25:30" ht="15">
      <c r="Y105" s="315"/>
      <c r="Z105" s="315"/>
      <c r="AA105" s="315"/>
      <c r="AB105" s="315"/>
      <c r="AC105" s="315"/>
      <c r="AD105" s="315"/>
    </row>
    <row r="106" spans="25:30" ht="15">
      <c r="Y106" s="315"/>
      <c r="Z106" s="315"/>
      <c r="AA106" s="315"/>
      <c r="AB106" s="315"/>
      <c r="AC106" s="315"/>
      <c r="AD106" s="315"/>
    </row>
    <row r="107" spans="25:30" ht="15">
      <c r="Y107" s="315"/>
      <c r="Z107" s="315"/>
      <c r="AA107" s="315"/>
      <c r="AB107" s="315"/>
      <c r="AC107" s="315"/>
      <c r="AD107" s="315"/>
    </row>
    <row r="108" spans="25:30" ht="15">
      <c r="Y108" s="315"/>
      <c r="Z108" s="315"/>
      <c r="AA108" s="315"/>
      <c r="AB108" s="315"/>
      <c r="AC108" s="315"/>
      <c r="AD108" s="315"/>
    </row>
    <row r="109" spans="25:30" ht="15">
      <c r="Y109" s="315"/>
      <c r="Z109" s="315"/>
      <c r="AA109" s="315"/>
      <c r="AB109" s="315"/>
      <c r="AC109" s="315"/>
      <c r="AD109" s="315"/>
    </row>
    <row r="110" spans="25:30" ht="15">
      <c r="Y110" s="315"/>
      <c r="Z110" s="315"/>
      <c r="AA110" s="315"/>
      <c r="AB110" s="315"/>
      <c r="AC110" s="315"/>
      <c r="AD110" s="315"/>
    </row>
    <row r="111" spans="25:30" ht="15">
      <c r="Y111" s="315"/>
      <c r="Z111" s="315"/>
      <c r="AA111" s="315"/>
      <c r="AB111" s="315"/>
      <c r="AC111" s="315"/>
      <c r="AD111" s="315"/>
    </row>
    <row r="112" spans="25:30" ht="15">
      <c r="Y112" s="315"/>
      <c r="Z112" s="315"/>
      <c r="AA112" s="315"/>
      <c r="AB112" s="315"/>
      <c r="AC112" s="315"/>
      <c r="AD112" s="315"/>
    </row>
    <row r="113" spans="25:30" ht="15">
      <c r="Y113" s="315"/>
      <c r="Z113" s="315"/>
      <c r="AA113" s="315"/>
      <c r="AB113" s="315"/>
      <c r="AC113" s="315"/>
      <c r="AD113" s="315"/>
    </row>
    <row r="114" spans="25:30" ht="15">
      <c r="Y114" s="315"/>
      <c r="Z114" s="315"/>
      <c r="AA114" s="315"/>
      <c r="AB114" s="315"/>
      <c r="AC114" s="315"/>
      <c r="AD114" s="315"/>
    </row>
    <row r="115" spans="25:30" ht="15">
      <c r="Y115" s="315"/>
      <c r="Z115" s="315"/>
      <c r="AA115" s="315"/>
      <c r="AB115" s="315"/>
      <c r="AC115" s="315"/>
      <c r="AD115" s="315"/>
    </row>
    <row r="116" spans="25:30" ht="15">
      <c r="Y116" s="315"/>
      <c r="Z116" s="315"/>
      <c r="AA116" s="315"/>
      <c r="AB116" s="315"/>
      <c r="AC116" s="315"/>
      <c r="AD116" s="315"/>
    </row>
    <row r="117" spans="25:30" ht="15">
      <c r="Y117" s="315"/>
      <c r="Z117" s="315"/>
      <c r="AA117" s="315"/>
      <c r="AB117" s="315"/>
      <c r="AC117" s="315"/>
      <c r="AD117" s="315"/>
    </row>
    <row r="118" spans="25:30" ht="15">
      <c r="Y118" s="315"/>
      <c r="Z118" s="315"/>
      <c r="AA118" s="315"/>
      <c r="AB118" s="315"/>
      <c r="AC118" s="315"/>
      <c r="AD118" s="315"/>
    </row>
    <row r="119" spans="25:30" ht="15">
      <c r="Y119" s="315"/>
      <c r="Z119" s="315"/>
      <c r="AA119" s="315"/>
      <c r="AB119" s="315"/>
      <c r="AC119" s="315"/>
      <c r="AD119" s="315"/>
    </row>
    <row r="120" spans="25:30" ht="15">
      <c r="Y120" s="315"/>
      <c r="Z120" s="315"/>
      <c r="AA120" s="315"/>
      <c r="AB120" s="315"/>
      <c r="AC120" s="315"/>
      <c r="AD120" s="315"/>
    </row>
    <row r="121" spans="25:30" ht="15">
      <c r="Y121" s="315"/>
      <c r="Z121" s="315"/>
      <c r="AA121" s="315"/>
      <c r="AB121" s="315"/>
      <c r="AC121" s="315"/>
      <c r="AD121" s="315"/>
    </row>
    <row r="122" spans="25:30" ht="15">
      <c r="Y122" s="315"/>
      <c r="Z122" s="315"/>
      <c r="AA122" s="315"/>
      <c r="AB122" s="315"/>
      <c r="AC122" s="315"/>
      <c r="AD122" s="315"/>
    </row>
    <row r="123" spans="25:30" ht="15">
      <c r="Y123" s="315"/>
      <c r="Z123" s="315"/>
      <c r="AA123" s="315"/>
      <c r="AB123" s="315"/>
      <c r="AC123" s="315"/>
      <c r="AD123" s="315"/>
    </row>
    <row r="124" spans="25:30" ht="15">
      <c r="Y124" s="315"/>
      <c r="Z124" s="315"/>
      <c r="AA124" s="315"/>
      <c r="AB124" s="315"/>
      <c r="AC124" s="315"/>
      <c r="AD124" s="315"/>
    </row>
    <row r="125" spans="25:30" ht="15">
      <c r="Y125" s="315"/>
      <c r="Z125" s="315"/>
      <c r="AA125" s="315"/>
      <c r="AB125" s="315"/>
      <c r="AC125" s="315"/>
      <c r="AD125" s="315"/>
    </row>
    <row r="126" spans="25:30" ht="15">
      <c r="Y126" s="315"/>
      <c r="Z126" s="315"/>
      <c r="AA126" s="315"/>
      <c r="AB126" s="315"/>
      <c r="AC126" s="315"/>
      <c r="AD126" s="315"/>
    </row>
    <row r="127" spans="25:30" ht="15">
      <c r="Y127" s="315"/>
      <c r="Z127" s="315"/>
      <c r="AA127" s="315"/>
      <c r="AB127" s="315"/>
      <c r="AC127" s="315"/>
      <c r="AD127" s="315"/>
    </row>
    <row r="128" spans="25:30" ht="15">
      <c r="Y128" s="315"/>
      <c r="Z128" s="315"/>
      <c r="AA128" s="315"/>
      <c r="AB128" s="315"/>
      <c r="AC128" s="315"/>
      <c r="AD128" s="315"/>
    </row>
    <row r="129" spans="25:30" ht="15">
      <c r="Y129" s="315"/>
      <c r="Z129" s="315"/>
      <c r="AA129" s="315"/>
      <c r="AB129" s="315"/>
      <c r="AC129" s="315"/>
      <c r="AD129" s="315"/>
    </row>
    <row r="130" spans="25:30" ht="15">
      <c r="Y130" s="315"/>
      <c r="Z130" s="315"/>
      <c r="AA130" s="315"/>
      <c r="AB130" s="315"/>
      <c r="AC130" s="315"/>
      <c r="AD130" s="315"/>
    </row>
    <row r="131" spans="25:30" ht="15">
      <c r="Y131" s="315"/>
      <c r="Z131" s="315"/>
      <c r="AA131" s="315"/>
      <c r="AB131" s="315"/>
      <c r="AC131" s="315"/>
      <c r="AD131" s="315"/>
    </row>
    <row r="132" spans="25:30" ht="15">
      <c r="Y132" s="315"/>
      <c r="Z132" s="315"/>
      <c r="AA132" s="315"/>
      <c r="AB132" s="315"/>
      <c r="AC132" s="315"/>
      <c r="AD132" s="315"/>
    </row>
    <row r="133" spans="25:30" ht="15">
      <c r="Y133" s="315"/>
      <c r="Z133" s="315"/>
      <c r="AA133" s="315"/>
      <c r="AB133" s="315"/>
      <c r="AC133" s="315"/>
      <c r="AD133" s="315"/>
    </row>
    <row r="134" spans="25:30" ht="15">
      <c r="Y134" s="315"/>
      <c r="Z134" s="315"/>
      <c r="AA134" s="315"/>
      <c r="AB134" s="315"/>
      <c r="AC134" s="315"/>
      <c r="AD134" s="315"/>
    </row>
    <row r="135" spans="25:30" ht="15">
      <c r="Y135" s="315"/>
      <c r="Z135" s="315"/>
      <c r="AA135" s="315"/>
      <c r="AB135" s="315"/>
      <c r="AC135" s="315"/>
      <c r="AD135" s="315"/>
    </row>
    <row r="136" spans="25:30" ht="15">
      <c r="Y136" s="315"/>
      <c r="Z136" s="315"/>
      <c r="AA136" s="315"/>
      <c r="AB136" s="315"/>
      <c r="AC136" s="315"/>
      <c r="AD136" s="315"/>
    </row>
    <row r="137" spans="25:30" ht="15">
      <c r="Y137" s="315"/>
      <c r="Z137" s="315"/>
      <c r="AA137" s="315"/>
      <c r="AB137" s="315"/>
      <c r="AC137" s="315"/>
      <c r="AD137" s="315"/>
    </row>
    <row r="138" spans="25:30" ht="15">
      <c r="Y138" s="315"/>
      <c r="Z138" s="315"/>
      <c r="AA138" s="315"/>
      <c r="AB138" s="315"/>
      <c r="AC138" s="315"/>
      <c r="AD138" s="315"/>
    </row>
    <row r="139" spans="25:30" ht="15">
      <c r="Y139" s="315"/>
      <c r="Z139" s="315"/>
      <c r="AA139" s="315"/>
      <c r="AB139" s="315"/>
      <c r="AC139" s="315"/>
      <c r="AD139" s="315"/>
    </row>
    <row r="140" spans="25:30" ht="15">
      <c r="Y140" s="315"/>
      <c r="Z140" s="315"/>
      <c r="AA140" s="315"/>
      <c r="AB140" s="315"/>
      <c r="AC140" s="315"/>
      <c r="AD140" s="315"/>
    </row>
    <row r="141" spans="25:30" ht="15">
      <c r="Y141" s="315"/>
      <c r="Z141" s="315"/>
      <c r="AA141" s="315"/>
      <c r="AB141" s="315"/>
      <c r="AC141" s="315"/>
      <c r="AD141" s="315"/>
    </row>
    <row r="142" spans="25:30" ht="15">
      <c r="Y142" s="315"/>
      <c r="Z142" s="315"/>
      <c r="AA142" s="315"/>
      <c r="AB142" s="315"/>
      <c r="AC142" s="315"/>
      <c r="AD142" s="315"/>
    </row>
    <row r="143" spans="25:30" ht="15">
      <c r="Y143" s="315"/>
      <c r="Z143" s="315"/>
      <c r="AA143" s="315"/>
      <c r="AB143" s="315"/>
      <c r="AC143" s="315"/>
      <c r="AD143" s="315"/>
    </row>
    <row r="144" spans="25:30" ht="15">
      <c r="Y144" s="315"/>
      <c r="Z144" s="315"/>
      <c r="AA144" s="315"/>
      <c r="AB144" s="315"/>
      <c r="AC144" s="315"/>
      <c r="AD144" s="315"/>
    </row>
    <row r="145" spans="25:30" ht="15">
      <c r="Y145" s="315"/>
      <c r="Z145" s="315"/>
      <c r="AA145" s="315"/>
      <c r="AB145" s="315"/>
      <c r="AC145" s="315"/>
      <c r="AD145" s="315"/>
    </row>
    <row r="146" spans="25:30" ht="15">
      <c r="Y146" s="315"/>
      <c r="Z146" s="315"/>
      <c r="AA146" s="315"/>
      <c r="AB146" s="315"/>
      <c r="AC146" s="315"/>
      <c r="AD146" s="315"/>
    </row>
    <row r="147" spans="25:30" ht="15">
      <c r="Y147" s="315"/>
      <c r="Z147" s="315"/>
      <c r="AA147" s="315"/>
      <c r="AB147" s="315"/>
      <c r="AC147" s="315"/>
      <c r="AD147" s="315"/>
    </row>
    <row r="148" spans="25:30" ht="15">
      <c r="Y148" s="315"/>
      <c r="Z148" s="315"/>
      <c r="AA148" s="315"/>
      <c r="AB148" s="315"/>
      <c r="AC148" s="315"/>
      <c r="AD148" s="315"/>
    </row>
    <row r="149" spans="25:30" ht="15">
      <c r="Y149" s="315"/>
      <c r="Z149" s="315"/>
      <c r="AA149" s="315"/>
      <c r="AB149" s="315"/>
      <c r="AC149" s="315"/>
      <c r="AD149" s="315"/>
    </row>
    <row r="150" spans="25:30" ht="15">
      <c r="Y150" s="315"/>
      <c r="Z150" s="315"/>
      <c r="AA150" s="315"/>
      <c r="AB150" s="315"/>
      <c r="AC150" s="315"/>
      <c r="AD150" s="315"/>
    </row>
    <row r="151" spans="25:30" ht="15">
      <c r="Y151" s="315"/>
      <c r="Z151" s="315"/>
      <c r="AA151" s="315"/>
      <c r="AB151" s="315"/>
      <c r="AC151" s="315"/>
      <c r="AD151" s="315"/>
    </row>
    <row r="152" spans="25:30" ht="15">
      <c r="Y152" s="315"/>
      <c r="Z152" s="315"/>
      <c r="AA152" s="315"/>
      <c r="AB152" s="315"/>
      <c r="AC152" s="315"/>
      <c r="AD152" s="315"/>
    </row>
    <row r="153" spans="25:30" ht="15">
      <c r="Y153" s="315"/>
      <c r="Z153" s="315"/>
      <c r="AA153" s="315"/>
      <c r="AB153" s="315"/>
      <c r="AC153" s="315"/>
      <c r="AD153" s="315"/>
    </row>
    <row r="154" spans="25:30" ht="15">
      <c r="Y154" s="315"/>
      <c r="Z154" s="315"/>
      <c r="AA154" s="315"/>
      <c r="AB154" s="315"/>
      <c r="AC154" s="315"/>
      <c r="AD154" s="315"/>
    </row>
    <row r="155" spans="25:30" ht="15">
      <c r="Y155" s="315"/>
      <c r="Z155" s="315"/>
      <c r="AA155" s="315"/>
      <c r="AB155" s="315"/>
      <c r="AC155" s="315"/>
      <c r="AD155" s="315"/>
    </row>
    <row r="156" spans="25:30" ht="15">
      <c r="Y156" s="315"/>
      <c r="Z156" s="315"/>
      <c r="AA156" s="315"/>
      <c r="AB156" s="315"/>
      <c r="AC156" s="315"/>
      <c r="AD156" s="315"/>
    </row>
    <row r="157" spans="25:30" ht="15">
      <c r="Y157" s="315"/>
      <c r="Z157" s="315"/>
      <c r="AA157" s="315"/>
      <c r="AB157" s="315"/>
      <c r="AC157" s="315"/>
      <c r="AD157" s="315"/>
    </row>
    <row r="158" spans="25:30" ht="15">
      <c r="Y158" s="315"/>
      <c r="Z158" s="315"/>
      <c r="AA158" s="315"/>
      <c r="AB158" s="315"/>
      <c r="AC158" s="315"/>
      <c r="AD158" s="315"/>
    </row>
    <row r="159" spans="25:30" ht="15">
      <c r="Y159" s="315"/>
      <c r="Z159" s="315"/>
      <c r="AA159" s="315"/>
      <c r="AB159" s="315"/>
      <c r="AC159" s="315"/>
      <c r="AD159" s="315"/>
    </row>
    <row r="160" spans="25:30" ht="15">
      <c r="Y160" s="315"/>
      <c r="Z160" s="315"/>
      <c r="AA160" s="315"/>
      <c r="AB160" s="315"/>
      <c r="AC160" s="315"/>
      <c r="AD160" s="315"/>
    </row>
    <row r="161" spans="25:30" ht="15">
      <c r="Y161" s="315"/>
      <c r="Z161" s="315"/>
      <c r="AA161" s="315"/>
      <c r="AB161" s="315"/>
      <c r="AC161" s="315"/>
      <c r="AD161" s="315"/>
    </row>
    <row r="162" spans="25:30" ht="15">
      <c r="Y162" s="315"/>
      <c r="Z162" s="315"/>
      <c r="AA162" s="315"/>
      <c r="AB162" s="315"/>
      <c r="AC162" s="315"/>
      <c r="AD162" s="315"/>
    </row>
    <row r="163" spans="25:30" ht="15">
      <c r="Y163" s="315"/>
      <c r="Z163" s="315"/>
      <c r="AA163" s="315"/>
      <c r="AB163" s="315"/>
      <c r="AC163" s="315"/>
      <c r="AD163" s="315"/>
    </row>
    <row r="164" spans="25:30" ht="15">
      <c r="Y164" s="315"/>
      <c r="Z164" s="315"/>
      <c r="AA164" s="315"/>
      <c r="AB164" s="315"/>
      <c r="AC164" s="315"/>
      <c r="AD164" s="315"/>
    </row>
    <row r="165" spans="25:30" ht="15">
      <c r="Y165" s="315"/>
      <c r="Z165" s="315"/>
      <c r="AA165" s="315"/>
      <c r="AB165" s="315"/>
      <c r="AC165" s="315"/>
      <c r="AD165" s="315"/>
    </row>
    <row r="166" spans="25:30" ht="15">
      <c r="Y166" s="315"/>
      <c r="Z166" s="315"/>
      <c r="AA166" s="315"/>
      <c r="AB166" s="315"/>
      <c r="AC166" s="315"/>
      <c r="AD166" s="315"/>
    </row>
    <row r="167" spans="25:30" ht="15">
      <c r="Y167" s="315"/>
      <c r="Z167" s="315"/>
      <c r="AA167" s="315"/>
      <c r="AB167" s="315"/>
      <c r="AC167" s="315"/>
      <c r="AD167" s="315"/>
    </row>
    <row r="168" spans="25:30" ht="15">
      <c r="Y168" s="315"/>
      <c r="Z168" s="315"/>
      <c r="AA168" s="315"/>
      <c r="AB168" s="315"/>
      <c r="AC168" s="315"/>
      <c r="AD168" s="315"/>
    </row>
    <row r="169" spans="25:30" ht="15">
      <c r="Y169" s="315"/>
      <c r="Z169" s="315"/>
      <c r="AA169" s="315"/>
      <c r="AB169" s="315"/>
      <c r="AC169" s="315"/>
      <c r="AD169" s="315"/>
    </row>
    <row r="170" spans="25:30" ht="15">
      <c r="Y170" s="315"/>
      <c r="Z170" s="315"/>
      <c r="AA170" s="315"/>
      <c r="AB170" s="315"/>
      <c r="AC170" s="315"/>
      <c r="AD170" s="315"/>
    </row>
    <row r="171" spans="25:30" ht="15">
      <c r="Y171" s="315"/>
      <c r="Z171" s="315"/>
      <c r="AA171" s="315"/>
      <c r="AB171" s="315"/>
      <c r="AC171" s="315"/>
      <c r="AD171" s="315"/>
    </row>
    <row r="172" spans="25:30" ht="15">
      <c r="Y172" s="315"/>
      <c r="Z172" s="315"/>
      <c r="AA172" s="315"/>
      <c r="AB172" s="315"/>
      <c r="AC172" s="315"/>
      <c r="AD172" s="315"/>
    </row>
    <row r="173" spans="25:30" ht="15">
      <c r="Y173" s="315"/>
      <c r="Z173" s="315"/>
      <c r="AA173" s="315"/>
      <c r="AB173" s="315"/>
      <c r="AC173" s="315"/>
      <c r="AD173" s="315"/>
    </row>
    <row r="174" spans="25:30" ht="15">
      <c r="Y174" s="315"/>
      <c r="Z174" s="315"/>
      <c r="AA174" s="315"/>
      <c r="AB174" s="315"/>
      <c r="AC174" s="315"/>
      <c r="AD174" s="315"/>
    </row>
    <row r="175" spans="25:30" ht="15">
      <c r="Y175" s="315"/>
      <c r="Z175" s="315"/>
      <c r="AA175" s="315"/>
      <c r="AB175" s="315"/>
      <c r="AC175" s="315"/>
      <c r="AD175" s="315"/>
    </row>
    <row r="176" spans="25:30" ht="15">
      <c r="Y176" s="315"/>
      <c r="Z176" s="315"/>
      <c r="AA176" s="315"/>
      <c r="AB176" s="315"/>
      <c r="AC176" s="315"/>
      <c r="AD176" s="315"/>
    </row>
    <row r="177" spans="25:30" ht="15">
      <c r="Y177" s="315"/>
      <c r="Z177" s="315"/>
      <c r="AA177" s="315"/>
      <c r="AB177" s="315"/>
      <c r="AC177" s="315"/>
      <c r="AD177" s="315"/>
    </row>
    <row r="178" spans="25:30" ht="15">
      <c r="Y178" s="315"/>
      <c r="Z178" s="315"/>
      <c r="AA178" s="315"/>
      <c r="AB178" s="315"/>
      <c r="AC178" s="315"/>
      <c r="AD178" s="315"/>
    </row>
    <row r="179" spans="25:30" ht="15">
      <c r="Y179" s="315"/>
      <c r="Z179" s="315"/>
      <c r="AA179" s="315"/>
      <c r="AB179" s="315"/>
      <c r="AC179" s="315"/>
      <c r="AD179" s="315"/>
    </row>
    <row r="180" spans="25:30" ht="15">
      <c r="Y180" s="315"/>
      <c r="Z180" s="315"/>
      <c r="AA180" s="315"/>
      <c r="AB180" s="315"/>
      <c r="AC180" s="315"/>
      <c r="AD180" s="315"/>
    </row>
    <row r="181" spans="25:30" ht="15">
      <c r="Y181" s="315"/>
      <c r="Z181" s="315"/>
      <c r="AA181" s="315"/>
      <c r="AB181" s="315"/>
      <c r="AC181" s="315"/>
      <c r="AD181" s="315"/>
    </row>
    <row r="182" spans="25:30" ht="15">
      <c r="Y182" s="315"/>
      <c r="Z182" s="315"/>
      <c r="AA182" s="315"/>
      <c r="AB182" s="315"/>
      <c r="AC182" s="315"/>
      <c r="AD182" s="315"/>
    </row>
    <row r="183" spans="25:30" ht="15">
      <c r="Y183" s="315"/>
      <c r="Z183" s="315"/>
      <c r="AA183" s="315"/>
      <c r="AB183" s="315"/>
      <c r="AC183" s="315"/>
      <c r="AD183" s="315"/>
    </row>
    <row r="184" spans="25:30" ht="15">
      <c r="Y184" s="315"/>
      <c r="Z184" s="315"/>
      <c r="AA184" s="315"/>
      <c r="AB184" s="315"/>
      <c r="AC184" s="315"/>
      <c r="AD184" s="315"/>
    </row>
    <row r="185" spans="25:30" ht="15">
      <c r="Y185" s="315"/>
      <c r="Z185" s="315"/>
      <c r="AA185" s="315"/>
      <c r="AB185" s="315"/>
      <c r="AC185" s="315"/>
      <c r="AD185" s="315"/>
    </row>
    <row r="186" spans="25:30" ht="15">
      <c r="Y186" s="315"/>
      <c r="Z186" s="315"/>
      <c r="AA186" s="315"/>
      <c r="AB186" s="315"/>
      <c r="AC186" s="315"/>
      <c r="AD186" s="315"/>
    </row>
    <row r="187" spans="25:30" ht="15">
      <c r="Y187" s="315"/>
      <c r="Z187" s="315"/>
      <c r="AA187" s="315"/>
      <c r="AB187" s="315"/>
      <c r="AC187" s="315"/>
      <c r="AD187" s="315"/>
    </row>
    <row r="188" spans="25:30" ht="15">
      <c r="Y188" s="315"/>
      <c r="Z188" s="315"/>
      <c r="AA188" s="315"/>
      <c r="AB188" s="315"/>
      <c r="AC188" s="315"/>
      <c r="AD188" s="315"/>
    </row>
    <row r="189" spans="25:30" ht="15">
      <c r="Y189" s="315"/>
      <c r="Z189" s="315"/>
      <c r="AA189" s="315"/>
      <c r="AB189" s="315"/>
      <c r="AC189" s="315"/>
      <c r="AD189" s="315"/>
    </row>
    <row r="190" spans="25:30" ht="15">
      <c r="Y190" s="315"/>
      <c r="Z190" s="315"/>
      <c r="AA190" s="315"/>
      <c r="AB190" s="315"/>
      <c r="AC190" s="315"/>
      <c r="AD190" s="315"/>
    </row>
    <row r="191" spans="25:30" ht="15">
      <c r="Y191" s="315"/>
      <c r="Z191" s="315"/>
      <c r="AA191" s="315"/>
      <c r="AB191" s="315"/>
      <c r="AC191" s="315"/>
      <c r="AD191" s="315"/>
    </row>
    <row r="192" spans="25:30" ht="15">
      <c r="Y192" s="315"/>
      <c r="Z192" s="315"/>
      <c r="AA192" s="315"/>
      <c r="AB192" s="315"/>
      <c r="AC192" s="315"/>
      <c r="AD192" s="315"/>
    </row>
    <row r="193" spans="25:30" ht="15">
      <c r="Y193" s="315"/>
      <c r="Z193" s="315"/>
      <c r="AA193" s="315"/>
      <c r="AB193" s="315"/>
      <c r="AC193" s="315"/>
      <c r="AD193" s="315"/>
    </row>
    <row r="194" spans="25:30" ht="15">
      <c r="Y194" s="315"/>
      <c r="Z194" s="315"/>
      <c r="AA194" s="315"/>
      <c r="AB194" s="315"/>
      <c r="AC194" s="315"/>
      <c r="AD194" s="315"/>
    </row>
    <row r="195" spans="25:30" ht="15">
      <c r="Y195" s="315"/>
      <c r="Z195" s="315"/>
      <c r="AA195" s="315"/>
      <c r="AB195" s="315"/>
      <c r="AC195" s="315"/>
      <c r="AD195" s="315"/>
    </row>
    <row r="196" spans="25:30" ht="15">
      <c r="Y196" s="315"/>
      <c r="Z196" s="315"/>
      <c r="AA196" s="315"/>
      <c r="AB196" s="315"/>
      <c r="AC196" s="315"/>
      <c r="AD196" s="315"/>
    </row>
    <row r="197" spans="25:30" ht="15">
      <c r="Y197" s="315"/>
      <c r="Z197" s="315"/>
      <c r="AA197" s="315"/>
      <c r="AB197" s="315"/>
      <c r="AC197" s="315"/>
      <c r="AD197" s="315"/>
    </row>
    <row r="198" spans="25:30" ht="15">
      <c r="Y198" s="315"/>
      <c r="Z198" s="315"/>
      <c r="AA198" s="315"/>
      <c r="AB198" s="315"/>
      <c r="AC198" s="315"/>
      <c r="AD198" s="315"/>
    </row>
    <row r="199" spans="25:30" ht="15">
      <c r="Y199" s="315"/>
      <c r="Z199" s="315"/>
      <c r="AA199" s="315"/>
      <c r="AB199" s="315"/>
      <c r="AC199" s="315"/>
      <c r="AD199" s="315"/>
    </row>
    <row r="200" spans="25:30" ht="15">
      <c r="Y200" s="315"/>
      <c r="Z200" s="315"/>
      <c r="AA200" s="315"/>
      <c r="AB200" s="315"/>
      <c r="AC200" s="315"/>
      <c r="AD200" s="315"/>
    </row>
    <row r="201" spans="25:30" ht="15">
      <c r="Y201" s="315"/>
      <c r="Z201" s="315"/>
      <c r="AA201" s="315"/>
      <c r="AB201" s="315"/>
      <c r="AC201" s="315"/>
      <c r="AD201" s="315"/>
    </row>
    <row r="202" spans="25:30" ht="15">
      <c r="Y202" s="315"/>
      <c r="Z202" s="315"/>
      <c r="AA202" s="315"/>
      <c r="AB202" s="315"/>
      <c r="AC202" s="315"/>
      <c r="AD202" s="315"/>
    </row>
    <row r="203" spans="25:30" ht="15">
      <c r="Y203" s="315"/>
      <c r="Z203" s="315"/>
      <c r="AA203" s="315"/>
      <c r="AB203" s="315"/>
      <c r="AC203" s="315"/>
      <c r="AD203" s="315"/>
    </row>
    <row r="204" spans="25:30" ht="15">
      <c r="Y204" s="315"/>
      <c r="Z204" s="315"/>
      <c r="AA204" s="315"/>
      <c r="AB204" s="315"/>
      <c r="AC204" s="315"/>
      <c r="AD204" s="315"/>
    </row>
    <row r="205" spans="25:30" ht="15">
      <c r="Y205" s="315"/>
      <c r="Z205" s="315"/>
      <c r="AA205" s="315"/>
      <c r="AB205" s="315"/>
      <c r="AC205" s="315"/>
      <c r="AD205" s="315"/>
    </row>
    <row r="206" spans="25:30" ht="15">
      <c r="Y206" s="315"/>
      <c r="Z206" s="315"/>
      <c r="AA206" s="315"/>
      <c r="AB206" s="315"/>
      <c r="AC206" s="315"/>
      <c r="AD206" s="315"/>
    </row>
    <row r="207" spans="25:30" ht="15">
      <c r="Y207" s="315"/>
      <c r="Z207" s="315"/>
      <c r="AA207" s="315"/>
      <c r="AB207" s="315"/>
      <c r="AC207" s="315"/>
      <c r="AD207" s="315"/>
    </row>
    <row r="208" spans="25:30" ht="15">
      <c r="Y208" s="315"/>
      <c r="Z208" s="315"/>
      <c r="AA208" s="315"/>
      <c r="AB208" s="315"/>
      <c r="AC208" s="315"/>
      <c r="AD208" s="315"/>
    </row>
    <row r="209" spans="25:30" ht="15">
      <c r="Y209" s="315"/>
      <c r="Z209" s="315"/>
      <c r="AA209" s="315"/>
      <c r="AB209" s="315"/>
      <c r="AC209" s="315"/>
      <c r="AD209" s="315"/>
    </row>
    <row r="210" spans="25:30" ht="15">
      <c r="Y210" s="315"/>
      <c r="Z210" s="315"/>
      <c r="AA210" s="315"/>
      <c r="AB210" s="315"/>
      <c r="AC210" s="315"/>
      <c r="AD210" s="315"/>
    </row>
    <row r="211" spans="25:30" ht="15">
      <c r="Y211" s="315"/>
      <c r="Z211" s="315"/>
      <c r="AA211" s="315"/>
      <c r="AB211" s="315"/>
      <c r="AC211" s="315"/>
      <c r="AD211" s="315"/>
    </row>
    <row r="212" spans="25:30" ht="15">
      <c r="Y212" s="315"/>
      <c r="Z212" s="315"/>
      <c r="AA212" s="315"/>
      <c r="AB212" s="315"/>
      <c r="AC212" s="315"/>
      <c r="AD212" s="315"/>
    </row>
    <row r="213" spans="25:30" ht="15">
      <c r="Y213" s="315"/>
      <c r="Z213" s="315"/>
      <c r="AA213" s="315"/>
      <c r="AB213" s="315"/>
      <c r="AC213" s="315"/>
      <c r="AD213" s="315"/>
    </row>
    <row r="214" spans="25:30" ht="15">
      <c r="Y214" s="315"/>
      <c r="Z214" s="315"/>
      <c r="AA214" s="315"/>
      <c r="AB214" s="315"/>
      <c r="AC214" s="315"/>
      <c r="AD214" s="315"/>
    </row>
    <row r="215" spans="25:30" ht="15">
      <c r="Y215" s="315"/>
      <c r="Z215" s="315"/>
      <c r="AA215" s="315"/>
      <c r="AB215" s="315"/>
      <c r="AC215" s="315"/>
      <c r="AD215" s="315"/>
    </row>
    <row r="216" spans="25:30" ht="15">
      <c r="Y216" s="315"/>
      <c r="Z216" s="315"/>
      <c r="AA216" s="315"/>
      <c r="AB216" s="315"/>
      <c r="AC216" s="315"/>
      <c r="AD216" s="315"/>
    </row>
    <row r="217" spans="25:30" ht="15">
      <c r="Y217" s="315"/>
      <c r="Z217" s="315"/>
      <c r="AA217" s="315"/>
      <c r="AB217" s="315"/>
      <c r="AC217" s="315"/>
      <c r="AD217" s="315"/>
    </row>
    <row r="218" spans="25:30" ht="15">
      <c r="Y218" s="315"/>
      <c r="Z218" s="315"/>
      <c r="AA218" s="315"/>
      <c r="AB218" s="315"/>
      <c r="AC218" s="315"/>
      <c r="AD218" s="315"/>
    </row>
    <row r="219" spans="25:30" ht="15">
      <c r="Y219" s="315"/>
      <c r="Z219" s="315"/>
      <c r="AA219" s="315"/>
      <c r="AB219" s="315"/>
      <c r="AC219" s="315"/>
      <c r="AD219" s="315"/>
    </row>
    <row r="220" spans="25:30" ht="15">
      <c r="Y220" s="315"/>
      <c r="Z220" s="315"/>
      <c r="AA220" s="315"/>
      <c r="AB220" s="315"/>
      <c r="AC220" s="315"/>
      <c r="AD220" s="315"/>
    </row>
    <row r="221" spans="25:30" ht="15">
      <c r="Y221" s="315"/>
      <c r="Z221" s="315"/>
      <c r="AA221" s="315"/>
      <c r="AB221" s="315"/>
      <c r="AC221" s="315"/>
      <c r="AD221" s="315"/>
    </row>
    <row r="222" spans="25:30" ht="15">
      <c r="Y222" s="315"/>
      <c r="Z222" s="315"/>
      <c r="AA222" s="315"/>
      <c r="AB222" s="315"/>
      <c r="AC222" s="315"/>
      <c r="AD222" s="315"/>
    </row>
    <row r="223" spans="25:30" ht="15">
      <c r="Y223" s="315"/>
      <c r="Z223" s="315"/>
      <c r="AA223" s="315"/>
      <c r="AB223" s="315"/>
      <c r="AC223" s="315"/>
      <c r="AD223" s="315"/>
    </row>
    <row r="224" spans="25:30" ht="15">
      <c r="Y224" s="315"/>
      <c r="Z224" s="315"/>
      <c r="AA224" s="315"/>
      <c r="AB224" s="315"/>
      <c r="AC224" s="315"/>
      <c r="AD224" s="315"/>
    </row>
    <row r="225" spans="25:30" ht="15">
      <c r="Y225" s="315"/>
      <c r="Z225" s="315"/>
      <c r="AA225" s="315"/>
      <c r="AB225" s="315"/>
      <c r="AC225" s="315"/>
      <c r="AD225" s="315"/>
    </row>
    <row r="226" spans="25:30" ht="15">
      <c r="Y226" s="315"/>
      <c r="Z226" s="315"/>
      <c r="AA226" s="315"/>
      <c r="AB226" s="315"/>
      <c r="AC226" s="315"/>
      <c r="AD226" s="315"/>
    </row>
    <row r="227" spans="25:30" ht="15">
      <c r="Y227" s="315"/>
      <c r="Z227" s="315"/>
      <c r="AA227" s="315"/>
      <c r="AB227" s="315"/>
      <c r="AC227" s="315"/>
      <c r="AD227" s="315"/>
    </row>
    <row r="228" spans="25:30" ht="15">
      <c r="Y228" s="315"/>
      <c r="Z228" s="315"/>
      <c r="AA228" s="315"/>
      <c r="AB228" s="315"/>
      <c r="AC228" s="315"/>
      <c r="AD228" s="315"/>
    </row>
    <row r="229" spans="25:30" ht="15">
      <c r="Y229" s="315"/>
      <c r="Z229" s="315"/>
      <c r="AA229" s="315"/>
      <c r="AB229" s="315"/>
      <c r="AC229" s="315"/>
      <c r="AD229" s="315"/>
    </row>
    <row r="230" spans="25:30" ht="15">
      <c r="Y230" s="315"/>
      <c r="Z230" s="315"/>
      <c r="AA230" s="315"/>
      <c r="AB230" s="315"/>
      <c r="AC230" s="315"/>
      <c r="AD230" s="315"/>
    </row>
    <row r="231" spans="25:30" ht="15">
      <c r="Y231" s="315"/>
      <c r="Z231" s="315"/>
      <c r="AA231" s="315"/>
      <c r="AB231" s="315"/>
      <c r="AC231" s="315"/>
      <c r="AD231" s="315"/>
    </row>
    <row r="232" spans="25:30" ht="15">
      <c r="Y232" s="315"/>
      <c r="Z232" s="315"/>
      <c r="AA232" s="315"/>
      <c r="AB232" s="315"/>
      <c r="AC232" s="315"/>
      <c r="AD232" s="315"/>
    </row>
    <row r="233" spans="25:30" ht="15">
      <c r="Y233" s="315"/>
      <c r="Z233" s="315"/>
      <c r="AA233" s="315"/>
      <c r="AB233" s="315"/>
      <c r="AC233" s="315"/>
      <c r="AD233" s="315"/>
    </row>
    <row r="234" spans="25:30" ht="15">
      <c r="Y234" s="315"/>
      <c r="Z234" s="315"/>
      <c r="AA234" s="315"/>
      <c r="AB234" s="315"/>
      <c r="AC234" s="315"/>
      <c r="AD234" s="315"/>
    </row>
    <row r="235" spans="25:30" ht="15">
      <c r="Y235" s="315"/>
      <c r="Z235" s="315"/>
      <c r="AA235" s="315"/>
      <c r="AB235" s="315"/>
      <c r="AC235" s="315"/>
      <c r="AD235" s="315"/>
    </row>
    <row r="236" spans="25:30" ht="15">
      <c r="Y236" s="315"/>
      <c r="Z236" s="315"/>
      <c r="AA236" s="315"/>
      <c r="AB236" s="315"/>
      <c r="AC236" s="315"/>
      <c r="AD236" s="315"/>
    </row>
    <row r="237" spans="25:30" ht="15">
      <c r="Y237" s="315"/>
      <c r="Z237" s="315"/>
      <c r="AA237" s="315"/>
      <c r="AB237" s="315"/>
      <c r="AC237" s="315"/>
      <c r="AD237" s="315"/>
    </row>
    <row r="238" spans="25:30" ht="15">
      <c r="Y238" s="315"/>
      <c r="Z238" s="315"/>
      <c r="AA238" s="315"/>
      <c r="AB238" s="315"/>
      <c r="AC238" s="315"/>
      <c r="AD238" s="315"/>
    </row>
    <row r="239" spans="25:30" ht="15">
      <c r="Y239" s="315"/>
      <c r="Z239" s="315"/>
      <c r="AA239" s="315"/>
      <c r="AB239" s="315"/>
      <c r="AC239" s="315"/>
      <c r="AD239" s="315"/>
    </row>
    <row r="240" spans="25:30" ht="15">
      <c r="Y240" s="315"/>
      <c r="Z240" s="315"/>
      <c r="AA240" s="315"/>
      <c r="AB240" s="315"/>
      <c r="AC240" s="315"/>
      <c r="AD240" s="315"/>
    </row>
    <row r="241" spans="25:30" ht="15">
      <c r="Y241" s="315"/>
      <c r="Z241" s="315"/>
      <c r="AA241" s="315"/>
      <c r="AB241" s="315"/>
      <c r="AC241" s="315"/>
      <c r="AD241" s="315"/>
    </row>
    <row r="242" spans="25:30" ht="15">
      <c r="Y242" s="315"/>
      <c r="Z242" s="315"/>
      <c r="AA242" s="315"/>
      <c r="AB242" s="315"/>
      <c r="AC242" s="315"/>
      <c r="AD242" s="315"/>
    </row>
    <row r="243" spans="25:30" ht="15">
      <c r="Y243" s="315"/>
      <c r="Z243" s="315"/>
      <c r="AA243" s="315"/>
      <c r="AB243" s="315"/>
      <c r="AC243" s="315"/>
      <c r="AD243" s="315"/>
    </row>
    <row r="244" spans="25:30" ht="15">
      <c r="Y244" s="315"/>
      <c r="Z244" s="315"/>
      <c r="AA244" s="315"/>
      <c r="AB244" s="315"/>
      <c r="AC244" s="315"/>
      <c r="AD244" s="315"/>
    </row>
    <row r="245" spans="25:30" ht="15">
      <c r="Y245" s="315"/>
      <c r="Z245" s="315"/>
      <c r="AA245" s="315"/>
      <c r="AB245" s="315"/>
      <c r="AC245" s="315"/>
      <c r="AD245" s="315"/>
    </row>
    <row r="246" spans="25:30" ht="15">
      <c r="Y246" s="315"/>
      <c r="Z246" s="315"/>
      <c r="AA246" s="315"/>
      <c r="AB246" s="315"/>
      <c r="AC246" s="315"/>
      <c r="AD246" s="315"/>
    </row>
    <row r="247" spans="25:30" ht="15">
      <c r="Y247" s="315"/>
      <c r="Z247" s="315"/>
      <c r="AA247" s="315"/>
      <c r="AB247" s="315"/>
      <c r="AC247" s="315"/>
      <c r="AD247" s="315"/>
    </row>
    <row r="248" spans="25:30" ht="15">
      <c r="Y248" s="315"/>
      <c r="Z248" s="315"/>
      <c r="AA248" s="315"/>
      <c r="AB248" s="315"/>
      <c r="AC248" s="315"/>
      <c r="AD248" s="315"/>
    </row>
    <row r="249" spans="25:30" ht="15">
      <c r="Y249" s="315"/>
      <c r="Z249" s="315"/>
      <c r="AA249" s="315"/>
      <c r="AB249" s="315"/>
      <c r="AC249" s="315"/>
      <c r="AD249" s="315"/>
    </row>
    <row r="250" spans="25:30" ht="15">
      <c r="Y250" s="315"/>
      <c r="Z250" s="315"/>
      <c r="AA250" s="315"/>
      <c r="AB250" s="315"/>
      <c r="AC250" s="315"/>
      <c r="AD250" s="315"/>
    </row>
    <row r="251" spans="25:30" ht="15">
      <c r="Y251" s="315"/>
      <c r="Z251" s="315"/>
      <c r="AA251" s="315"/>
      <c r="AB251" s="315"/>
      <c r="AC251" s="315"/>
      <c r="AD251" s="315"/>
    </row>
    <row r="252" spans="25:30" ht="15">
      <c r="Y252" s="315"/>
      <c r="Z252" s="315"/>
      <c r="AA252" s="315"/>
      <c r="AB252" s="315"/>
      <c r="AC252" s="315"/>
      <c r="AD252" s="315"/>
    </row>
    <row r="253" spans="25:30" ht="15">
      <c r="Y253" s="315"/>
      <c r="Z253" s="315"/>
      <c r="AA253" s="315"/>
      <c r="AB253" s="315"/>
      <c r="AC253" s="315"/>
      <c r="AD253" s="315"/>
    </row>
  </sheetData>
  <mergeCells count="64">
    <mergeCell ref="FX1:FX3"/>
    <mergeCell ref="FY1:GL1"/>
    <mergeCell ref="FY2:FZ3"/>
    <mergeCell ref="GB2:GC3"/>
    <mergeCell ref="GE2:GF3"/>
    <mergeCell ref="GH2:GI3"/>
    <mergeCell ref="GK2:GL3"/>
    <mergeCell ref="EY2:EZ3"/>
    <mergeCell ref="FB2:FC3"/>
    <mergeCell ref="EX1:EX3"/>
    <mergeCell ref="FH2:FI3"/>
    <mergeCell ref="EY1:FL1"/>
    <mergeCell ref="FE2:FF3"/>
    <mergeCell ref="FK2:FL3"/>
    <mergeCell ref="DY2:DZ3"/>
    <mergeCell ref="DE2:DF3"/>
    <mergeCell ref="AY1:BL1"/>
    <mergeCell ref="BY1:CL1"/>
    <mergeCell ref="BE2:BF3"/>
    <mergeCell ref="BH2:BI3"/>
    <mergeCell ref="CB2:CC3"/>
    <mergeCell ref="CE2:CF3"/>
    <mergeCell ref="CH2:CI3"/>
    <mergeCell ref="CK2:CL3"/>
    <mergeCell ref="Y2:Z3"/>
    <mergeCell ref="BY2:BZ3"/>
    <mergeCell ref="EK2:EL3"/>
    <mergeCell ref="CY2:CZ3"/>
    <mergeCell ref="DB2:DC3"/>
    <mergeCell ref="EB2:EC3"/>
    <mergeCell ref="EE2:EF3"/>
    <mergeCell ref="EH2:EI3"/>
    <mergeCell ref="DK2:DL3"/>
    <mergeCell ref="DX1:DX3"/>
    <mergeCell ref="DH2:DI3"/>
    <mergeCell ref="CY1:DL1"/>
    <mergeCell ref="DY1:EL1"/>
    <mergeCell ref="AK2:AL3"/>
    <mergeCell ref="AX1:AX3"/>
    <mergeCell ref="BX1:BX3"/>
    <mergeCell ref="CX1:CX3"/>
    <mergeCell ref="BK2:BL3"/>
    <mergeCell ref="AY2:AZ3"/>
    <mergeCell ref="BB2:BC3"/>
    <mergeCell ref="AH2:AI3"/>
    <mergeCell ref="B1:Q1"/>
    <mergeCell ref="X1:X3"/>
    <mergeCell ref="K12:P12"/>
    <mergeCell ref="K8:P8"/>
    <mergeCell ref="K4:P4"/>
    <mergeCell ref="AB2:AC3"/>
    <mergeCell ref="S5:S7"/>
    <mergeCell ref="AE2:AF3"/>
    <mergeCell ref="Y1:AL1"/>
    <mergeCell ref="K28:P28"/>
    <mergeCell ref="B2:C3"/>
    <mergeCell ref="E2:F3"/>
    <mergeCell ref="H2:I3"/>
    <mergeCell ref="K2:Q2"/>
    <mergeCell ref="K24:P24"/>
    <mergeCell ref="K20:P20"/>
    <mergeCell ref="K3:M3"/>
    <mergeCell ref="O3:Q3"/>
    <mergeCell ref="K16:P16"/>
  </mergeCells>
  <phoneticPr fontId="0" type="noConversion"/>
  <hyperlinks>
    <hyperlink ref="X1:X3" location="'stat. celkem'!A1" display="ZPĚT"/>
    <hyperlink ref="K8:P8" location="'stat. celkem'!BM1" display="KLÍČOV    22.2.2014"/>
    <hyperlink ref="AX1:AX3" location="'stat. celkem'!A1" display="ZPĚT"/>
    <hyperlink ref="K12:P12" location="'stat. celkem'!CM1" display="ŘEPY    15.3.2014"/>
    <hyperlink ref="BX1:BX3" location="'stat. celkem'!A1" display="ZPĚT"/>
    <hyperlink ref="K16:P16" location="'stat. celkem'!DM1" display="HOSTIVAŘ     29.3.2014"/>
    <hyperlink ref="CX1:CX3" location="'stat. celkem'!A1" display="ZPĚT"/>
    <hyperlink ref="DX1:DX3" location="'stat. celkem'!A1" display="ZPĚT"/>
    <hyperlink ref="EX1:EX3" location="'stat. celkem'!A1" display="ZPĚT"/>
    <hyperlink ref="K24:P24" location="'stat. celkem'!FM1" display="VRŠOVICE     15.11.2014"/>
    <hyperlink ref="J2" location="turnaje!A1" display="turnaje"/>
    <hyperlink ref="J3" location="jednotlivci!A1" display="jednotlivci"/>
    <hyperlink ref="FX1:FX3" location="'stat. celkem'!A1" display="ZPĚT"/>
    <hyperlink ref="K28:P28" location="'stat. celkem'!GM1" display="POHÁR GENERÁLNÍHO ŘEDITELE"/>
    <hyperlink ref="K4:P4" location="'stat. celkem'!AM1" display="PV-OSZO DP-A    18.1.2014"/>
    <hyperlink ref="K20:P20" location="'stat. celkem'!EM1" display="KAČEROV     11.10.2014"/>
  </hyperlinks>
  <pageMargins left="0.27559055118110237" right="0.31496062992125984" top="0.27559055118110237" bottom="0.23622047244094491" header="0.19685039370078741" footer="0.19685039370078741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F71"/>
  <sheetViews>
    <sheetView showGridLines="0" showRowColHeaders="0" topLeftCell="A7" zoomScaleNormal="100" workbookViewId="0"/>
  </sheetViews>
  <sheetFormatPr defaultColWidth="6.7109375" defaultRowHeight="12.75"/>
  <cols>
    <col min="1" max="9" width="9.140625" customWidth="1"/>
    <col min="10" max="10" width="28.7109375" customWidth="1"/>
    <col min="11" max="12" width="9.140625" customWidth="1"/>
    <col min="13" max="13" width="6.7109375" customWidth="1"/>
  </cols>
  <sheetData>
    <row r="1" spans="1:32" ht="12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</row>
    <row r="2" spans="1:32" ht="12.75" customHeight="1">
      <c r="A2" s="103"/>
      <c r="B2" s="103"/>
      <c r="C2" s="103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</row>
    <row r="3" spans="1:32" ht="20.25">
      <c r="A3" s="103"/>
      <c r="B3" s="815" t="s">
        <v>179</v>
      </c>
      <c r="C3" s="816"/>
      <c r="D3" s="816"/>
      <c r="E3" s="816"/>
      <c r="F3" s="816"/>
      <c r="G3" s="816"/>
      <c r="H3" s="816"/>
      <c r="I3" s="817"/>
      <c r="J3" s="105"/>
      <c r="K3" s="105"/>
      <c r="L3" s="565"/>
      <c r="M3" s="105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</row>
    <row r="4" spans="1:32" ht="20.25">
      <c r="A4" s="103"/>
      <c r="B4" s="818"/>
      <c r="C4" s="819"/>
      <c r="D4" s="819"/>
      <c r="E4" s="819"/>
      <c r="F4" s="819"/>
      <c r="G4" s="819"/>
      <c r="H4" s="819"/>
      <c r="I4" s="820"/>
      <c r="J4" s="105"/>
      <c r="K4" s="105"/>
      <c r="L4" s="105"/>
      <c r="M4" s="105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32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</row>
    <row r="6" spans="1:32" ht="1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</row>
    <row r="7" spans="1:32" ht="15" customHeight="1">
      <c r="A7" s="569"/>
      <c r="B7" s="826" t="s">
        <v>210</v>
      </c>
      <c r="C7" s="827"/>
      <c r="D7" s="821" t="s">
        <v>182</v>
      </c>
      <c r="E7" s="103"/>
      <c r="F7" s="103"/>
      <c r="G7" s="103"/>
      <c r="H7" s="103"/>
      <c r="I7" s="103"/>
      <c r="J7" s="103"/>
      <c r="K7" s="103"/>
      <c r="L7" s="103"/>
      <c r="M7" s="103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</row>
    <row r="8" spans="1:32" ht="15" customHeight="1">
      <c r="A8" s="569"/>
      <c r="B8" s="828"/>
      <c r="C8" s="829"/>
      <c r="D8" s="821"/>
      <c r="E8" s="103"/>
      <c r="F8" s="103"/>
      <c r="G8" s="103"/>
      <c r="H8" s="103"/>
      <c r="I8" s="103"/>
      <c r="J8" s="103"/>
      <c r="K8" s="103"/>
      <c r="L8" s="103"/>
      <c r="M8" s="103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</row>
    <row r="9" spans="1:32" ht="15" customHeight="1">
      <c r="A9" s="569"/>
      <c r="B9" s="830" t="s">
        <v>125</v>
      </c>
      <c r="C9" s="831"/>
      <c r="D9" s="821" t="s">
        <v>191</v>
      </c>
      <c r="E9" s="103"/>
      <c r="F9" s="103"/>
      <c r="G9" s="103"/>
      <c r="H9" s="103"/>
      <c r="I9" s="103"/>
      <c r="J9" s="103"/>
      <c r="K9" s="103"/>
      <c r="L9" s="103"/>
      <c r="M9" s="103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</row>
    <row r="10" spans="1:32" ht="15" customHeight="1">
      <c r="A10" s="569"/>
      <c r="B10" s="832"/>
      <c r="C10" s="833"/>
      <c r="D10" s="821"/>
      <c r="E10" s="103"/>
      <c r="F10" s="103"/>
      <c r="G10" s="103"/>
      <c r="H10" s="103"/>
      <c r="I10" s="103"/>
      <c r="J10" s="103"/>
      <c r="K10" s="103"/>
      <c r="L10" s="103"/>
      <c r="M10" s="103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</row>
    <row r="11" spans="1:32" ht="15" customHeight="1">
      <c r="A11" s="569"/>
      <c r="B11" s="834" t="s">
        <v>126</v>
      </c>
      <c r="C11" s="835"/>
      <c r="D11" s="821" t="s">
        <v>53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</row>
    <row r="12" spans="1:32" ht="15" customHeight="1">
      <c r="A12" s="569"/>
      <c r="B12" s="836"/>
      <c r="C12" s="837"/>
      <c r="D12" s="821"/>
      <c r="E12" s="103"/>
      <c r="F12" s="103"/>
      <c r="G12" s="103"/>
      <c r="H12" s="103"/>
      <c r="I12" s="103"/>
      <c r="J12" s="104"/>
      <c r="K12" s="103"/>
      <c r="L12" s="103"/>
      <c r="M12" s="103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</row>
    <row r="13" spans="1:32" ht="15" customHeight="1">
      <c r="A13" s="569"/>
      <c r="B13" s="851" t="s">
        <v>128</v>
      </c>
      <c r="C13" s="852"/>
      <c r="D13" s="821" t="s">
        <v>192</v>
      </c>
      <c r="E13" s="103"/>
      <c r="F13" s="848"/>
      <c r="G13" s="848"/>
      <c r="H13" s="103"/>
      <c r="I13" s="103"/>
      <c r="J13" s="104"/>
      <c r="K13" s="103"/>
      <c r="L13" s="103"/>
      <c r="M13" s="103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</row>
    <row r="14" spans="1:32" ht="15" customHeight="1">
      <c r="A14" s="569"/>
      <c r="B14" s="853"/>
      <c r="C14" s="854"/>
      <c r="D14" s="821"/>
      <c r="E14" s="103"/>
      <c r="F14" s="848"/>
      <c r="G14" s="848"/>
      <c r="H14" s="103"/>
      <c r="I14" s="103"/>
      <c r="J14" s="103"/>
      <c r="K14" s="103"/>
      <c r="L14" s="103"/>
      <c r="M14" s="103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</row>
    <row r="15" spans="1:32" ht="15" customHeight="1">
      <c r="A15" s="569"/>
      <c r="B15" s="855" t="s">
        <v>129</v>
      </c>
      <c r="C15" s="856"/>
      <c r="D15" s="821" t="s">
        <v>174</v>
      </c>
      <c r="E15" s="103"/>
      <c r="F15" s="103"/>
      <c r="G15" s="103"/>
      <c r="H15" s="103"/>
      <c r="I15" s="103"/>
      <c r="J15" s="103"/>
      <c r="K15" s="103"/>
      <c r="L15" s="103"/>
      <c r="M15" s="103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</row>
    <row r="16" spans="1:32" ht="15" customHeight="1">
      <c r="A16" s="569"/>
      <c r="B16" s="857"/>
      <c r="C16" s="858"/>
      <c r="D16" s="821"/>
      <c r="E16" s="103"/>
      <c r="F16" s="103"/>
      <c r="G16" s="103"/>
      <c r="H16" s="103"/>
      <c r="I16" s="103"/>
      <c r="J16" s="849" t="s">
        <v>106</v>
      </c>
      <c r="K16" s="103"/>
      <c r="L16" s="103"/>
      <c r="M16" s="103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</row>
    <row r="17" spans="1:32" ht="15" customHeight="1">
      <c r="A17" s="569"/>
      <c r="B17" s="822" t="s">
        <v>130</v>
      </c>
      <c r="C17" s="823"/>
      <c r="D17" s="821" t="s">
        <v>174</v>
      </c>
      <c r="E17" s="103"/>
      <c r="F17" s="103"/>
      <c r="G17" s="103"/>
      <c r="H17" s="103"/>
      <c r="I17" s="103"/>
      <c r="J17" s="850"/>
      <c r="K17" s="103"/>
      <c r="L17" s="103"/>
      <c r="M17" s="103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</row>
    <row r="18" spans="1:32" ht="15" customHeight="1">
      <c r="A18" s="569"/>
      <c r="B18" s="824"/>
      <c r="C18" s="825"/>
      <c r="D18" s="821"/>
      <c r="E18" s="103"/>
      <c r="F18" s="103"/>
      <c r="G18" s="103"/>
      <c r="H18" s="103"/>
      <c r="I18" s="103"/>
      <c r="J18" s="103"/>
      <c r="K18" s="103"/>
      <c r="L18" s="103"/>
      <c r="M18" s="103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</row>
    <row r="19" spans="1:32" ht="15" customHeight="1">
      <c r="A19" s="569"/>
      <c r="B19" s="838" t="s">
        <v>161</v>
      </c>
      <c r="C19" s="838"/>
      <c r="D19" s="821" t="s">
        <v>174</v>
      </c>
      <c r="E19" s="103"/>
      <c r="F19" s="103"/>
      <c r="G19" s="103"/>
      <c r="H19" s="103"/>
      <c r="I19" s="103"/>
      <c r="J19" s="840" t="s">
        <v>153</v>
      </c>
      <c r="K19" s="103"/>
      <c r="L19" s="103"/>
      <c r="M19" s="103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</row>
    <row r="20" spans="1:32" ht="15" customHeight="1">
      <c r="A20" s="569"/>
      <c r="B20" s="839"/>
      <c r="C20" s="839"/>
      <c r="D20" s="821"/>
      <c r="E20" s="103"/>
      <c r="F20" s="103"/>
      <c r="G20" s="103"/>
      <c r="H20" s="103"/>
      <c r="I20" s="103"/>
      <c r="J20" s="841"/>
      <c r="K20" s="103"/>
      <c r="L20" s="103"/>
      <c r="M20" s="103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</row>
    <row r="21" spans="1:32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</row>
    <row r="22" spans="1:32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842" t="s">
        <v>154</v>
      </c>
      <c r="K22" s="103"/>
      <c r="L22" s="103"/>
      <c r="M22" s="103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</row>
    <row r="23" spans="1:32" ht="15" customHeight="1">
      <c r="A23" s="103"/>
      <c r="B23" s="844" t="s">
        <v>132</v>
      </c>
      <c r="C23" s="845"/>
      <c r="D23" s="103"/>
      <c r="E23" s="103"/>
      <c r="F23" s="103"/>
      <c r="G23" s="103"/>
      <c r="H23" s="103"/>
      <c r="I23" s="103"/>
      <c r="J23" s="843"/>
      <c r="K23" s="103"/>
      <c r="L23" s="103"/>
      <c r="M23" s="103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</row>
    <row r="24" spans="1:32" ht="15" customHeight="1">
      <c r="A24" s="103"/>
      <c r="B24" s="846"/>
      <c r="C24" s="847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</row>
    <row r="25" spans="1:32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</row>
    <row r="26" spans="1:32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</row>
    <row r="27" spans="1:32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</row>
    <row r="28" spans="1:32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</row>
    <row r="29" spans="1:32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</row>
    <row r="30" spans="1:32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</row>
    <row r="31" spans="1:32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</row>
    <row r="32" spans="1:32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</row>
    <row r="33" spans="1:32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</row>
    <row r="34" spans="1:32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6"/>
    </row>
    <row r="35" spans="1:32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</row>
    <row r="36" spans="1:32" ht="1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</row>
    <row r="37" spans="1:32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</row>
    <row r="38" spans="1:32" ht="15" customHeight="1">
      <c r="B38" s="3"/>
      <c r="C38" s="3"/>
      <c r="D38" s="3"/>
    </row>
    <row r="39" spans="1:32" ht="15" customHeight="1">
      <c r="B39" s="3"/>
      <c r="C39" s="3"/>
      <c r="D39" s="3"/>
    </row>
    <row r="40" spans="1:32" ht="15" customHeight="1"/>
    <row r="41" spans="1:32" ht="15" customHeight="1"/>
    <row r="42" spans="1:32" ht="15" customHeight="1"/>
    <row r="43" spans="1:32" ht="15" customHeight="1"/>
    <row r="44" spans="1:32" ht="15" customHeight="1"/>
    <row r="45" spans="1:32" ht="15" customHeight="1"/>
    <row r="46" spans="1:32" ht="15" customHeight="1"/>
    <row r="47" spans="1:32" ht="15" customHeight="1"/>
    <row r="48" spans="1:3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20">
    <mergeCell ref="B19:C20"/>
    <mergeCell ref="D19:D20"/>
    <mergeCell ref="J19:J20"/>
    <mergeCell ref="J22:J23"/>
    <mergeCell ref="B23:C24"/>
    <mergeCell ref="F13:G14"/>
    <mergeCell ref="J16:J17"/>
    <mergeCell ref="B13:C14"/>
    <mergeCell ref="D13:D14"/>
    <mergeCell ref="B15:C16"/>
    <mergeCell ref="B3:I4"/>
    <mergeCell ref="D15:D16"/>
    <mergeCell ref="B17:C18"/>
    <mergeCell ref="D17:D18"/>
    <mergeCell ref="B7:C8"/>
    <mergeCell ref="D7:D8"/>
    <mergeCell ref="B9:C10"/>
    <mergeCell ref="D9:D10"/>
    <mergeCell ref="B11:C12"/>
    <mergeCell ref="D11:D12"/>
  </mergeCells>
  <phoneticPr fontId="0" type="noConversion"/>
  <hyperlinks>
    <hyperlink ref="B7:C8" location="'PV OSZO'!A1" display="PV OSZO"/>
    <hyperlink ref="B9:C10" location="KLÍČOV!A1" display="KLÍČOV"/>
    <hyperlink ref="B11:C12" location="ŘEPY!A1" display="ŘEPY"/>
    <hyperlink ref="B13:C14" location="HOSTIVAŘ!A1" display="HOSTIVAŘ"/>
    <hyperlink ref="B15:C16" location="KAČEROV!A1" display="KAČEROV"/>
    <hyperlink ref="B17:C18" location="VRŠOVICE!A1" display="VRŠOVICE"/>
    <hyperlink ref="B23:C24" location="'11 DRUŽSTEV'!A1" display="PRO PŘÍPAD            11 DRUŽSTEV"/>
    <hyperlink ref="J16:J17" location="jednotlivci!A1" display="jednotlivci"/>
    <hyperlink ref="J19:J20" location="'stat. celkem'!A1" display="stat. celkem"/>
    <hyperlink ref="J22:J23" location="garáže!A1" display="garáže"/>
    <hyperlink ref="B19:C20" location="'POHÁR GŘ'!A1" display="POHÁR GŘ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theme="3" tint="0.59999389629810485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7.7109375" hidden="1" customWidth="1"/>
    <col min="17" max="17" width="12.7109375" hidden="1" customWidth="1"/>
    <col min="18" max="18" width="7.7109375" customWidth="1"/>
    <col min="19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7" width="10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customWidth="1"/>
    <col min="36" max="36" width="1.28515625" customWidth="1"/>
    <col min="37" max="37" width="3.7109375" hidden="1" customWidth="1"/>
    <col min="38" max="38" width="3.28515625" customWidth="1"/>
    <col min="39" max="39" width="15.7109375" customWidth="1"/>
    <col min="53" max="53" width="12.7109375" customWidth="1"/>
  </cols>
  <sheetData>
    <row r="1" spans="1:53" ht="12.75" customHeight="1">
      <c r="A1" s="865" t="s">
        <v>114</v>
      </c>
      <c r="C1" s="607"/>
      <c r="D1" s="705"/>
      <c r="E1" s="705"/>
      <c r="F1" s="706"/>
      <c r="G1" s="706"/>
      <c r="H1" s="706"/>
      <c r="I1" s="706"/>
      <c r="J1" s="706"/>
      <c r="K1" s="706"/>
      <c r="L1" s="707"/>
      <c r="M1" s="707"/>
      <c r="N1" s="706"/>
      <c r="O1" s="706"/>
      <c r="P1" s="708"/>
      <c r="Q1" s="708"/>
      <c r="R1" s="705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5"/>
      <c r="AD1" s="705"/>
      <c r="AE1" s="705"/>
      <c r="AF1" s="708"/>
      <c r="AG1" s="705"/>
      <c r="AH1" s="705"/>
      <c r="AI1" s="706"/>
      <c r="AJ1" s="705"/>
      <c r="AK1" s="708"/>
      <c r="AL1" s="705"/>
      <c r="AM1" s="705"/>
      <c r="AN1" s="705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C2" s="607"/>
      <c r="D2" s="705"/>
      <c r="E2" s="705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6"/>
      <c r="AJ2" s="705"/>
      <c r="AK2" s="705"/>
      <c r="AL2" s="705"/>
      <c r="AM2" s="705"/>
      <c r="AN2" s="705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C3" s="568"/>
      <c r="D3" s="866" t="s">
        <v>211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C4" s="506"/>
      <c r="D4" s="506"/>
      <c r="E4" s="506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10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6"/>
      <c r="C5" s="867" t="s">
        <v>81</v>
      </c>
      <c r="D5" s="868"/>
      <c r="E5" s="576" t="s">
        <v>121</v>
      </c>
      <c r="F5" s="577" t="s">
        <v>82</v>
      </c>
      <c r="G5" s="578" t="s">
        <v>83</v>
      </c>
      <c r="H5" s="578" t="s">
        <v>84</v>
      </c>
      <c r="I5" s="578" t="s">
        <v>85</v>
      </c>
      <c r="J5" s="578" t="s">
        <v>86</v>
      </c>
      <c r="K5" s="470" t="s">
        <v>87</v>
      </c>
      <c r="L5" s="448"/>
      <c r="M5" s="448"/>
      <c r="N5" s="869" t="s">
        <v>122</v>
      </c>
      <c r="O5" s="870"/>
      <c r="P5" s="579"/>
      <c r="Q5" s="579"/>
      <c r="R5" s="472" t="s">
        <v>123</v>
      </c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871" t="s">
        <v>142</v>
      </c>
      <c r="AH5" s="871"/>
      <c r="AI5" s="871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6"/>
      <c r="B6">
        <f>IF(F6="","",N6)</f>
        <v>21</v>
      </c>
      <c r="C6" s="872">
        <v>1</v>
      </c>
      <c r="D6" s="875" t="s">
        <v>131</v>
      </c>
      <c r="E6" s="704" t="s">
        <v>35</v>
      </c>
      <c r="F6" s="709">
        <v>134</v>
      </c>
      <c r="G6" s="709">
        <v>127</v>
      </c>
      <c r="H6" s="709">
        <v>138</v>
      </c>
      <c r="I6" s="709">
        <v>161</v>
      </c>
      <c r="J6" s="709">
        <v>177</v>
      </c>
      <c r="K6" s="595">
        <f>SUM(F6:J6)</f>
        <v>737</v>
      </c>
      <c r="L6" s="595">
        <f t="shared" ref="L6:L16" si="0">MAX(F6:J6)</f>
        <v>177</v>
      </c>
      <c r="M6" s="645">
        <f>SUM(K6*1000)+L6+0.055</f>
        <v>737177.05500000005</v>
      </c>
      <c r="N6" s="595">
        <f>IF(F6="","",RANK(M6,M6:M70,0))</f>
        <v>21</v>
      </c>
      <c r="O6" s="595"/>
      <c r="P6" s="645"/>
      <c r="Q6" s="609"/>
      <c r="R6" s="878">
        <f>IF(F6="","",RANK(Q11,Q11:Q71,0))</f>
        <v>3</v>
      </c>
      <c r="S6" s="537"/>
      <c r="T6" s="543">
        <f>IF(F6="","",RANK(AA6,AA6:AA64,0))</f>
        <v>2</v>
      </c>
      <c r="U6" s="543">
        <f>IF(R6="","",R6)</f>
        <v>3</v>
      </c>
      <c r="V6" s="544" t="str">
        <f>IF(D6="","",D6)</f>
        <v>KAČEROV I.</v>
      </c>
      <c r="W6" s="544">
        <f>IF(O11="","",O11)</f>
        <v>3835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KAČEROV</v>
      </c>
      <c r="Y6" s="544">
        <f>MAX(F11:J11,F17:J17)+0.05</f>
        <v>872.05</v>
      </c>
      <c r="Z6" s="544">
        <f>SUM(O11,O17)*1000</f>
        <v>7392000</v>
      </c>
      <c r="AA6" s="655">
        <f>SUM(Y6:Z6)</f>
        <v>7392872.0499999998</v>
      </c>
      <c r="AB6" s="545">
        <f>IF(AC17="","",AC17)</f>
        <v>7392</v>
      </c>
      <c r="AC6" s="535"/>
      <c r="AD6" s="862">
        <f>IF(T6="","",T6)</f>
        <v>2</v>
      </c>
      <c r="AE6" s="608"/>
      <c r="AF6">
        <f>COUNT(F6:F10,F12:F16,F18:F22,F24:F28,F30:F34,F36:F40,F42:F46,F48:F52,F54:F58,F60:F64,F66:F70)</f>
        <v>55</v>
      </c>
      <c r="AG6" s="94">
        <v>1</v>
      </c>
      <c r="AH6" s="95" t="str">
        <f>IF(AF6&lt;1,"",VLOOKUP(1,B6:N70,4,FALSE))</f>
        <v>Podhola Martin</v>
      </c>
      <c r="AI6" s="94">
        <f>IF(AF6&lt;1,"",VLOOKUP(1,B6:N70,10,FALSE))</f>
        <v>857</v>
      </c>
      <c r="AJ6" s="506"/>
      <c r="AK6" s="7">
        <f>COUNT(U6:U16,U18:U28,U30:U40,U42:U52,U54:U64,U66)</f>
        <v>11</v>
      </c>
      <c r="AL6" s="859" t="s">
        <v>180</v>
      </c>
      <c r="AM6" s="860"/>
      <c r="AN6" s="861"/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6"/>
      <c r="B7">
        <f>IF(F7="","",N7)</f>
        <v>17</v>
      </c>
      <c r="C7" s="873"/>
      <c r="D7" s="876"/>
      <c r="E7" s="703" t="s">
        <v>159</v>
      </c>
      <c r="F7" s="710">
        <v>140</v>
      </c>
      <c r="G7" s="710">
        <v>163</v>
      </c>
      <c r="H7" s="710">
        <v>169</v>
      </c>
      <c r="I7" s="710">
        <v>100</v>
      </c>
      <c r="J7" s="710">
        <v>177</v>
      </c>
      <c r="K7" s="585">
        <f>SUM(F7:J7)</f>
        <v>749</v>
      </c>
      <c r="L7" s="585">
        <f t="shared" si="0"/>
        <v>177</v>
      </c>
      <c r="M7" s="646">
        <f>SUM(K7*1000)+L7+0.054</f>
        <v>749177.054</v>
      </c>
      <c r="N7" s="585">
        <f>IF(F7="","",RANK(M7,M6:M70,0))</f>
        <v>17</v>
      </c>
      <c r="O7" s="585"/>
      <c r="P7" s="646"/>
      <c r="Q7" s="610"/>
      <c r="R7" s="879"/>
      <c r="S7" s="538"/>
      <c r="T7" s="528"/>
      <c r="U7" s="528"/>
      <c r="V7" s="528"/>
      <c r="W7" s="528"/>
      <c r="X7" s="528"/>
      <c r="Y7" s="528"/>
      <c r="Z7" s="528"/>
      <c r="AA7" s="528"/>
      <c r="AB7" s="539"/>
      <c r="AC7" s="532"/>
      <c r="AD7" s="863"/>
      <c r="AE7" s="608"/>
      <c r="AF7" s="506"/>
      <c r="AG7" s="94">
        <f>SUM(AG6+1)</f>
        <v>2</v>
      </c>
      <c r="AH7" s="95" t="str">
        <f>IF(AF6&lt;2,"",VLOOKUP(2,B6:N70,4,FALSE))</f>
        <v>Mašát Petr</v>
      </c>
      <c r="AI7" s="94">
        <f>IF(AF6&lt;2,"",VLOOKUP(2,B6:N70,10,FALSE))</f>
        <v>852</v>
      </c>
      <c r="AJ7" s="506"/>
      <c r="AK7" s="561"/>
      <c r="AL7" s="476">
        <v>1</v>
      </c>
      <c r="AM7" s="414" t="str">
        <f>IF(AK6&lt;1,"",VLOOKUP(1,U6:W70,2,FALSE))</f>
        <v>VRŠOVICE I.</v>
      </c>
      <c r="AN7" s="669">
        <f>IF(AK6&lt;1,"",VLOOKUP(1,U6:W70,3,FALSE))</f>
        <v>3891</v>
      </c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6"/>
      <c r="B8">
        <f>IF(F8="","",N8)</f>
        <v>18</v>
      </c>
      <c r="C8" s="873"/>
      <c r="D8" s="876"/>
      <c r="E8" s="703" t="s">
        <v>80</v>
      </c>
      <c r="F8" s="710">
        <v>175</v>
      </c>
      <c r="G8" s="710">
        <v>163</v>
      </c>
      <c r="H8" s="710">
        <v>149</v>
      </c>
      <c r="I8" s="710">
        <v>119</v>
      </c>
      <c r="J8" s="710">
        <v>143</v>
      </c>
      <c r="K8" s="585">
        <f>SUM(F8:J8)</f>
        <v>749</v>
      </c>
      <c r="L8" s="585">
        <f t="shared" si="0"/>
        <v>175</v>
      </c>
      <c r="M8" s="646">
        <f>SUM(K8*1000)+L8+0.053</f>
        <v>749175.05299999996</v>
      </c>
      <c r="N8" s="585">
        <f>IF(F8="","",RANK(M8,M6:M71,0))</f>
        <v>18</v>
      </c>
      <c r="O8" s="585"/>
      <c r="P8" s="646"/>
      <c r="Q8" s="610"/>
      <c r="R8" s="879"/>
      <c r="S8" s="538"/>
      <c r="T8" s="528"/>
      <c r="U8" s="528"/>
      <c r="V8" s="528"/>
      <c r="W8" s="528"/>
      <c r="X8" s="528"/>
      <c r="Y8" s="528"/>
      <c r="Z8" s="528"/>
      <c r="AA8" s="528"/>
      <c r="AB8" s="539"/>
      <c r="AC8" s="532"/>
      <c r="AD8" s="863"/>
      <c r="AE8" s="608"/>
      <c r="AF8" s="506"/>
      <c r="AG8" s="94">
        <f t="shared" ref="AG8:AG60" si="1">SUM(AG7+1)</f>
        <v>3</v>
      </c>
      <c r="AH8" s="95" t="str">
        <f>IF(AF6&lt;3,"",VLOOKUP(3,B6:N70,4,FALSE))</f>
        <v>Krupa Jozef</v>
      </c>
      <c r="AI8" s="94">
        <f>IF(AF6&lt;3,"",VLOOKUP(3,B6:N70,10,FALSE))</f>
        <v>844</v>
      </c>
      <c r="AJ8" s="506"/>
      <c r="AK8" s="561"/>
      <c r="AL8" s="476">
        <v>2</v>
      </c>
      <c r="AM8" s="414" t="str">
        <f>IF(AK6&lt;2,"",VLOOKUP(2,U6:W70,2,FALSE))</f>
        <v>ŘEPY I.</v>
      </c>
      <c r="AN8" s="669">
        <f>IF(AK6&lt;2,"",VLOOKUP(2,U6:W70,3,FALSE))</f>
        <v>3853</v>
      </c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6"/>
      <c r="B9">
        <f>IF(F9="","",N9)</f>
        <v>2</v>
      </c>
      <c r="C9" s="873"/>
      <c r="D9" s="876"/>
      <c r="E9" s="703" t="s">
        <v>8</v>
      </c>
      <c r="F9" s="710">
        <v>170</v>
      </c>
      <c r="G9" s="710">
        <v>166</v>
      </c>
      <c r="H9" s="710">
        <v>164</v>
      </c>
      <c r="I9" s="710">
        <v>160</v>
      </c>
      <c r="J9" s="710">
        <v>192</v>
      </c>
      <c r="K9" s="585">
        <f>SUM(F9:J9)</f>
        <v>852</v>
      </c>
      <c r="L9" s="585">
        <f t="shared" si="0"/>
        <v>192</v>
      </c>
      <c r="M9" s="646">
        <f>SUM(K9*1000)+L9+0.052</f>
        <v>852192.05200000003</v>
      </c>
      <c r="N9" s="585">
        <f>IF(F9="","",RANK(M9,M6:M70,0))</f>
        <v>2</v>
      </c>
      <c r="O9" s="585"/>
      <c r="P9" s="646"/>
      <c r="Q9" s="610"/>
      <c r="R9" s="879"/>
      <c r="S9" s="538"/>
      <c r="T9" s="528"/>
      <c r="U9" s="528"/>
      <c r="V9" s="528"/>
      <c r="W9" s="528"/>
      <c r="X9" s="528"/>
      <c r="Y9" s="528"/>
      <c r="Z9" s="528"/>
      <c r="AA9" s="528"/>
      <c r="AB9" s="539"/>
      <c r="AC9" s="532"/>
      <c r="AD9" s="863"/>
      <c r="AE9" s="608"/>
      <c r="AF9" s="506"/>
      <c r="AG9" s="94">
        <f t="shared" si="1"/>
        <v>4</v>
      </c>
      <c r="AH9" s="95" t="str">
        <f>IF(AF6&lt;4,"",VLOOKUP(4,B6:N70,4,FALSE))</f>
        <v>Lazur Michal</v>
      </c>
      <c r="AI9" s="94">
        <f>IF(AF6&lt;4,"",VLOOKUP(4,B6:N70,10,FALSE))</f>
        <v>829</v>
      </c>
      <c r="AJ9" s="506"/>
      <c r="AK9" s="561"/>
      <c r="AL9" s="476">
        <v>3</v>
      </c>
      <c r="AM9" s="414" t="str">
        <f>IF(AK6&lt;3,"",VLOOKUP(3,U6:W70,2,FALSE))</f>
        <v>KAČEROV I.</v>
      </c>
      <c r="AN9" s="669">
        <f>IF(AK6&lt;3,"",VLOOKUP(3,U6:W70,3,FALSE))</f>
        <v>3835</v>
      </c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6"/>
      <c r="B10">
        <f>IF(F10="","",N10)</f>
        <v>20</v>
      </c>
      <c r="C10" s="874"/>
      <c r="D10" s="877"/>
      <c r="E10" s="703" t="s">
        <v>4</v>
      </c>
      <c r="F10" s="711">
        <v>113</v>
      </c>
      <c r="G10" s="711">
        <v>138</v>
      </c>
      <c r="H10" s="711">
        <v>155</v>
      </c>
      <c r="I10" s="711">
        <v>159</v>
      </c>
      <c r="J10" s="711">
        <v>183</v>
      </c>
      <c r="K10" s="596">
        <f>SUM(F10:J10)</f>
        <v>748</v>
      </c>
      <c r="L10" s="596">
        <f t="shared" si="0"/>
        <v>183</v>
      </c>
      <c r="M10" s="647">
        <f>SUM(K10*1000)+L10+0.051</f>
        <v>748183.05099999998</v>
      </c>
      <c r="N10" s="596">
        <f>IF(F10="","",RANK(M10,M6:M70,0))</f>
        <v>20</v>
      </c>
      <c r="O10" s="596"/>
      <c r="P10" s="647"/>
      <c r="Q10" s="611"/>
      <c r="R10" s="880"/>
      <c r="S10" s="540"/>
      <c r="T10" s="529"/>
      <c r="U10" s="529"/>
      <c r="V10" s="529"/>
      <c r="W10" s="529"/>
      <c r="X10" s="529"/>
      <c r="Y10" s="529"/>
      <c r="Z10" s="529"/>
      <c r="AA10" s="529"/>
      <c r="AB10" s="541"/>
      <c r="AC10" s="532"/>
      <c r="AD10" s="863"/>
      <c r="AE10" s="608"/>
      <c r="AF10" s="506"/>
      <c r="AG10" s="94">
        <f t="shared" si="1"/>
        <v>5</v>
      </c>
      <c r="AH10" s="95" t="str">
        <f>IF(AF6&lt;5,"",VLOOKUP(5,B6:N70,4,FALSE))</f>
        <v>Kocůr Jaroslav</v>
      </c>
      <c r="AI10" s="94">
        <f>IF(AF6&lt;5,"",VLOOKUP(5,B6:N70,10,FALSE))</f>
        <v>827</v>
      </c>
      <c r="AJ10" s="506"/>
      <c r="AK10" s="561"/>
      <c r="AL10" s="476">
        <v>4</v>
      </c>
      <c r="AM10" s="564" t="str">
        <f>IF(AK6&lt;4,"",VLOOKUP(4,U6:W70,2,FALSE))</f>
        <v>HOSTIVAŘ I.</v>
      </c>
      <c r="AN10" s="669">
        <f>IF(AK6&lt;4,"",VLOOKUP(4,U6:W70,3,FALSE))</f>
        <v>3783</v>
      </c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6"/>
      <c r="C11" s="523"/>
      <c r="D11" s="593"/>
      <c r="E11" s="497"/>
      <c r="F11" s="591">
        <f>SUM(F6:F10)</f>
        <v>732</v>
      </c>
      <c r="G11" s="591">
        <f>SUM(G6:G10)</f>
        <v>757</v>
      </c>
      <c r="H11" s="591">
        <f>SUM(H6:H10)</f>
        <v>775</v>
      </c>
      <c r="I11" s="591">
        <f>SUM(I6:I10)</f>
        <v>699</v>
      </c>
      <c r="J11" s="591">
        <f>SUM(J6:J10)</f>
        <v>872</v>
      </c>
      <c r="K11" s="587"/>
      <c r="L11" s="587">
        <f t="shared" si="0"/>
        <v>872</v>
      </c>
      <c r="M11" s="587"/>
      <c r="N11" s="587"/>
      <c r="O11" s="588">
        <f>SUM(F11:J11)</f>
        <v>3835</v>
      </c>
      <c r="P11" s="660">
        <f>MAX(F11:J11)+0.01</f>
        <v>872.01</v>
      </c>
      <c r="Q11" s="659">
        <f>IF(F6="","",SUM(O11*1000)+P11)</f>
        <v>3835872.01</v>
      </c>
      <c r="R11" s="592"/>
      <c r="S11" s="536"/>
      <c r="T11" s="536"/>
      <c r="U11" s="536"/>
      <c r="V11" s="536"/>
      <c r="W11" s="536"/>
      <c r="X11" s="536"/>
      <c r="Y11" s="536"/>
      <c r="Z11" s="536"/>
      <c r="AA11" s="536"/>
      <c r="AB11" s="594"/>
      <c r="AC11" s="532"/>
      <c r="AD11" s="863"/>
      <c r="AE11" s="608"/>
      <c r="AF11" s="506"/>
      <c r="AG11" s="94">
        <f t="shared" si="1"/>
        <v>6</v>
      </c>
      <c r="AH11" s="95" t="str">
        <f>IF(AF6&lt;6,"",VLOOKUP(6,B6:N70,4,FALSE))</f>
        <v>Kolář Ladislav</v>
      </c>
      <c r="AI11" s="94">
        <f>IF(AF6&lt;6,"",VLOOKUP(6,B6:N70,10,FALSE))</f>
        <v>826</v>
      </c>
      <c r="AJ11" s="506"/>
      <c r="AK11" s="561"/>
      <c r="AL11" s="476">
        <v>5</v>
      </c>
      <c r="AM11" s="564" t="str">
        <f>IF(AK6&lt;5,"",VLOOKUP(5,U6:W70,2,FALSE))</f>
        <v>KLÍČOV I.</v>
      </c>
      <c r="AN11" s="669">
        <f>IF(AK6&lt;5,"",VLOOKUP(5,U6:W70,3,FALSE))</f>
        <v>3643</v>
      </c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6"/>
      <c r="B12">
        <f>IF(F12="","",N12)</f>
        <v>27</v>
      </c>
      <c r="C12" s="872">
        <v>2</v>
      </c>
      <c r="D12" s="887" t="s">
        <v>133</v>
      </c>
      <c r="E12" s="704" t="s">
        <v>36</v>
      </c>
      <c r="F12" s="709">
        <v>132</v>
      </c>
      <c r="G12" s="709">
        <v>173</v>
      </c>
      <c r="H12" s="709">
        <v>137</v>
      </c>
      <c r="I12" s="709">
        <v>151</v>
      </c>
      <c r="J12" s="709">
        <v>119</v>
      </c>
      <c r="K12" s="595">
        <f>SUM(F12:J12)</f>
        <v>712</v>
      </c>
      <c r="L12" s="595">
        <f t="shared" si="0"/>
        <v>173</v>
      </c>
      <c r="M12" s="645">
        <f>SUM(K12*1000)+L12+0.05</f>
        <v>712173.05</v>
      </c>
      <c r="N12" s="595">
        <f>IF(F12="","",RANK(M12,M6:M70,0))</f>
        <v>27</v>
      </c>
      <c r="O12" s="595"/>
      <c r="P12" s="645"/>
      <c r="Q12" s="612"/>
      <c r="R12" s="890">
        <f>IF(F12="","",RANK(Q17,Q11:Q71,0))</f>
        <v>7</v>
      </c>
      <c r="S12" s="537"/>
      <c r="T12" s="527"/>
      <c r="U12" s="543">
        <f>IF(R12="","",R12)</f>
        <v>7</v>
      </c>
      <c r="V12" s="544" t="str">
        <f>IF(D12="","",D12)</f>
        <v>KAČEROV II.</v>
      </c>
      <c r="W12" s="547">
        <f>IF(O17="","",O17)</f>
        <v>3557</v>
      </c>
      <c r="X12" s="527"/>
      <c r="Y12" s="527"/>
      <c r="Z12" s="527"/>
      <c r="AA12" s="527"/>
      <c r="AB12" s="548"/>
      <c r="AC12" s="532"/>
      <c r="AD12" s="863"/>
      <c r="AE12" s="608"/>
      <c r="AF12" s="506"/>
      <c r="AG12" s="94">
        <f t="shared" si="1"/>
        <v>7</v>
      </c>
      <c r="AH12" s="95" t="str">
        <f>IF(AF6&lt;7,"",VLOOKUP(7,B6:N70,4,FALSE))</f>
        <v>Šafařík Luděk</v>
      </c>
      <c r="AI12" s="94">
        <f>IF(AF6&lt;7,"",VLOOKUP(7,B6:N70,10,FALSE))</f>
        <v>812</v>
      </c>
      <c r="AJ12" s="506"/>
      <c r="AK12" s="561"/>
      <c r="AL12" s="476">
        <v>6</v>
      </c>
      <c r="AM12" s="564" t="str">
        <f>IF(AK6&lt;6,"",VLOOKUP(6,U6:W70,2,FALSE))</f>
        <v>ŘEPY II.</v>
      </c>
      <c r="AN12" s="669">
        <f>IF(AK6&lt;6,"",VLOOKUP(6,U6:W70,3,FALSE))</f>
        <v>3576</v>
      </c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6"/>
      <c r="B13">
        <f>IF(F13="","",N13)</f>
        <v>23</v>
      </c>
      <c r="C13" s="873"/>
      <c r="D13" s="888"/>
      <c r="E13" s="703" t="s">
        <v>9</v>
      </c>
      <c r="F13" s="710">
        <v>101</v>
      </c>
      <c r="G13" s="710">
        <v>150</v>
      </c>
      <c r="H13" s="710">
        <v>169</v>
      </c>
      <c r="I13" s="710">
        <v>168</v>
      </c>
      <c r="J13" s="710">
        <v>133</v>
      </c>
      <c r="K13" s="585">
        <f>SUM(F13:J13)</f>
        <v>721</v>
      </c>
      <c r="L13" s="585">
        <f t="shared" si="0"/>
        <v>169</v>
      </c>
      <c r="M13" s="646">
        <f>SUM(K13*1000)+L13+0.049</f>
        <v>721169.049</v>
      </c>
      <c r="N13" s="585">
        <f>IF(F13="","",RANK(M13,M6:M70,0))</f>
        <v>23</v>
      </c>
      <c r="O13" s="585"/>
      <c r="P13" s="646"/>
      <c r="Q13" s="613"/>
      <c r="R13" s="891"/>
      <c r="S13" s="538"/>
      <c r="T13" s="528"/>
      <c r="U13" s="528"/>
      <c r="V13" s="528"/>
      <c r="W13" s="528"/>
      <c r="X13" s="528"/>
      <c r="Y13" s="528"/>
      <c r="Z13" s="528"/>
      <c r="AA13" s="528"/>
      <c r="AB13" s="539"/>
      <c r="AC13" s="532"/>
      <c r="AD13" s="863"/>
      <c r="AE13" s="608"/>
      <c r="AF13" s="506"/>
      <c r="AG13" s="94">
        <f t="shared" si="1"/>
        <v>8</v>
      </c>
      <c r="AH13" s="95" t="str">
        <f>IF(AF6&lt;8,"",VLOOKUP(8,B6:N70,4,FALSE))</f>
        <v>Dvořák Petr</v>
      </c>
      <c r="AI13" s="94">
        <f>IF(AF6&lt;8,"",VLOOKUP(8,B6:N70,10,FALSE))</f>
        <v>799</v>
      </c>
      <c r="AJ13" s="506"/>
      <c r="AK13" s="561"/>
      <c r="AL13" s="476">
        <v>7</v>
      </c>
      <c r="AM13" s="564" t="str">
        <f>IF(AK6&lt;7,"",VLOOKUP(7,U6:W70,2,FALSE))</f>
        <v>KAČEROV II.</v>
      </c>
      <c r="AN13" s="669">
        <f>IF(AK6&lt;7,"",VLOOKUP(7,U6:W70,3,FALSE))</f>
        <v>3557</v>
      </c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6"/>
      <c r="B14">
        <f>IF(F14="","",N14)</f>
        <v>44</v>
      </c>
      <c r="C14" s="873"/>
      <c r="D14" s="888"/>
      <c r="E14" s="703" t="s">
        <v>96</v>
      </c>
      <c r="F14" s="710">
        <v>144</v>
      </c>
      <c r="G14" s="710">
        <v>99</v>
      </c>
      <c r="H14" s="710">
        <v>122</v>
      </c>
      <c r="I14" s="710">
        <v>168</v>
      </c>
      <c r="J14" s="710">
        <v>118</v>
      </c>
      <c r="K14" s="585">
        <f>SUM(F14:J14)</f>
        <v>651</v>
      </c>
      <c r="L14" s="585">
        <f t="shared" si="0"/>
        <v>168</v>
      </c>
      <c r="M14" s="646">
        <f>SUM(K14*1000)+L14+0.048</f>
        <v>651168.04799999995</v>
      </c>
      <c r="N14" s="585">
        <f>IF(F14="","",RANK(M14,M6:M70,0))</f>
        <v>44</v>
      </c>
      <c r="O14" s="585"/>
      <c r="P14" s="646"/>
      <c r="Q14" s="613"/>
      <c r="R14" s="891"/>
      <c r="S14" s="538"/>
      <c r="T14" s="528"/>
      <c r="U14" s="528"/>
      <c r="V14" s="528"/>
      <c r="W14" s="528"/>
      <c r="X14" s="528"/>
      <c r="Y14" s="528"/>
      <c r="Z14" s="528"/>
      <c r="AA14" s="528"/>
      <c r="AB14" s="539"/>
      <c r="AC14" s="532"/>
      <c r="AD14" s="863"/>
      <c r="AE14" s="608"/>
      <c r="AF14" s="506"/>
      <c r="AG14" s="94">
        <f t="shared" si="1"/>
        <v>9</v>
      </c>
      <c r="AH14" s="95" t="str">
        <f>IF(AF6&lt;9,"",VLOOKUP(9,B6:N70,4,FALSE))</f>
        <v>Pospíšil Václav</v>
      </c>
      <c r="AI14" s="94">
        <f>IF(AF6&lt;9,"",VLOOKUP(9,B6:N70,10,FALSE))</f>
        <v>791</v>
      </c>
      <c r="AJ14" s="506"/>
      <c r="AK14" s="561"/>
      <c r="AL14" s="476">
        <v>8</v>
      </c>
      <c r="AM14" s="564" t="str">
        <f>IF(AK6&lt;8,"",VLOOKUP(8,U6:W70,2,FALSE))</f>
        <v>ŘEPY III.</v>
      </c>
      <c r="AN14" s="669">
        <f>IF(AK6&lt;8,"",VLOOKUP(8,U6:W70,3,FALSE))</f>
        <v>3226</v>
      </c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6"/>
      <c r="B15">
        <f>IF(F15="","",N15)</f>
        <v>13</v>
      </c>
      <c r="C15" s="873"/>
      <c r="D15" s="888"/>
      <c r="E15" s="703" t="s">
        <v>69</v>
      </c>
      <c r="F15" s="710">
        <v>132</v>
      </c>
      <c r="G15" s="710">
        <v>174</v>
      </c>
      <c r="H15" s="710">
        <v>149</v>
      </c>
      <c r="I15" s="710">
        <v>140</v>
      </c>
      <c r="J15" s="710">
        <v>162</v>
      </c>
      <c r="K15" s="585">
        <f>SUM(F15:J15)</f>
        <v>757</v>
      </c>
      <c r="L15" s="585">
        <f t="shared" si="0"/>
        <v>174</v>
      </c>
      <c r="M15" s="646">
        <f>SUM(K15*1000)+L15+0.047</f>
        <v>757174.04700000002</v>
      </c>
      <c r="N15" s="585">
        <f>IF(F15="","",RANK(M15,M6:M700,0))</f>
        <v>13</v>
      </c>
      <c r="O15" s="585"/>
      <c r="P15" s="646"/>
      <c r="Q15" s="613"/>
      <c r="R15" s="891"/>
      <c r="S15" s="538"/>
      <c r="T15" s="528"/>
      <c r="U15" s="528"/>
      <c r="V15" s="528"/>
      <c r="W15" s="528"/>
      <c r="X15" s="528"/>
      <c r="Y15" s="528"/>
      <c r="Z15" s="528"/>
      <c r="AA15" s="528"/>
      <c r="AB15" s="539"/>
      <c r="AC15" s="532"/>
      <c r="AD15" s="863"/>
      <c r="AE15" s="608"/>
      <c r="AF15" s="506"/>
      <c r="AG15" s="94">
        <f t="shared" si="1"/>
        <v>10</v>
      </c>
      <c r="AH15" s="98" t="str">
        <f>IF(AF6&lt;10,"",VLOOKUP(10,B6:N70,4,FALSE))</f>
        <v>Štěpánek Radek</v>
      </c>
      <c r="AI15" s="94">
        <f>IF(AF6&lt;10,"",VLOOKUP(10,B6:N70,10,FALSE))</f>
        <v>776</v>
      </c>
      <c r="AJ15" s="506"/>
      <c r="AK15" s="561"/>
      <c r="AL15" s="476">
        <v>9</v>
      </c>
      <c r="AM15" s="564" t="str">
        <f>IF(AK6&lt;9,"",VLOOKUP(9,U6:W70,2,FALSE))</f>
        <v>HOSTIVAŘ II.</v>
      </c>
      <c r="AN15" s="669">
        <f>IF(AK6&lt;9,"",VLOOKUP(9,U6:W70,3,FALSE))</f>
        <v>3195</v>
      </c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6"/>
      <c r="B16">
        <f>IF(F16="","",N16)</f>
        <v>25</v>
      </c>
      <c r="C16" s="874"/>
      <c r="D16" s="889"/>
      <c r="E16" s="703" t="s">
        <v>79</v>
      </c>
      <c r="F16" s="711">
        <v>125</v>
      </c>
      <c r="G16" s="711">
        <v>158</v>
      </c>
      <c r="H16" s="711">
        <v>118</v>
      </c>
      <c r="I16" s="711">
        <v>183</v>
      </c>
      <c r="J16" s="711">
        <v>132</v>
      </c>
      <c r="K16" s="596">
        <f>SUM(F16:J16)</f>
        <v>716</v>
      </c>
      <c r="L16" s="596">
        <f t="shared" si="0"/>
        <v>183</v>
      </c>
      <c r="M16" s="647">
        <f>SUM(K16*1000)+L16+0.046</f>
        <v>716183.04599999997</v>
      </c>
      <c r="N16" s="596">
        <f>IF(F16="","",RANK(M16,M6:M70,0))</f>
        <v>25</v>
      </c>
      <c r="O16" s="596"/>
      <c r="P16" s="647"/>
      <c r="Q16" s="614"/>
      <c r="R16" s="892"/>
      <c r="S16" s="540"/>
      <c r="T16" s="529"/>
      <c r="U16" s="529"/>
      <c r="V16" s="529"/>
      <c r="W16" s="529"/>
      <c r="X16" s="529"/>
      <c r="Y16" s="529"/>
      <c r="Z16" s="529"/>
      <c r="AA16" s="529"/>
      <c r="AB16" s="541"/>
      <c r="AC16" s="536"/>
      <c r="AD16" s="864"/>
      <c r="AE16" s="608"/>
      <c r="AF16" s="506"/>
      <c r="AG16" s="94">
        <f t="shared" si="1"/>
        <v>11</v>
      </c>
      <c r="AH16" s="98" t="str">
        <f>IF(AF6&lt;11,"",VLOOKUP(11,B6:N70,4,FALSE))</f>
        <v>Froněk Martin</v>
      </c>
      <c r="AI16" s="94">
        <f>IF(AF6&lt;11,"",VLOOKUP(11,B6:N70,10,FALSE))</f>
        <v>772</v>
      </c>
      <c r="AJ16" s="506"/>
      <c r="AK16" s="561"/>
      <c r="AL16" s="476">
        <v>10</v>
      </c>
      <c r="AM16" s="564" t="str">
        <f>IF(AK6&lt;10,"",VLOOKUP(10,U6:W70,2,FALSE))</f>
        <v>KLÍČOV II.</v>
      </c>
      <c r="AN16" s="669">
        <f>IF(AK6&lt;10,"",VLOOKUP(10,U6:W70,3,FALSE))</f>
        <v>3164</v>
      </c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6"/>
      <c r="B17" s="506"/>
      <c r="C17" s="524"/>
      <c r="D17" s="618"/>
      <c r="E17" s="574"/>
      <c r="F17" s="571">
        <f>SUM(F12:F16)</f>
        <v>634</v>
      </c>
      <c r="G17" s="571">
        <f>SUM(G12:G16)</f>
        <v>754</v>
      </c>
      <c r="H17" s="571">
        <f>SUM(H12:H16)</f>
        <v>695</v>
      </c>
      <c r="I17" s="571">
        <f>SUM(I12:I16)</f>
        <v>810</v>
      </c>
      <c r="J17" s="571">
        <f>SUM(J12:J16)</f>
        <v>664</v>
      </c>
      <c r="K17" s="571"/>
      <c r="L17" s="571"/>
      <c r="M17" s="648"/>
      <c r="N17" s="619"/>
      <c r="O17" s="619">
        <f>SUM(F17:J17)</f>
        <v>3557</v>
      </c>
      <c r="P17" s="661">
        <f>MAX(F17:J17)+0.009</f>
        <v>810.00900000000001</v>
      </c>
      <c r="Q17" s="620">
        <f>IF(F12="","",SUM(O17*1000)+P17)</f>
        <v>3557810.0090000001</v>
      </c>
      <c r="R17" s="621"/>
      <c r="S17" s="622"/>
      <c r="T17" s="622"/>
      <c r="U17" s="622"/>
      <c r="V17" s="622"/>
      <c r="W17" s="506"/>
      <c r="X17" s="506"/>
      <c r="Y17" s="506"/>
      <c r="Z17" s="506"/>
      <c r="AA17" s="506"/>
      <c r="AB17" s="506"/>
      <c r="AC17" s="893">
        <f>SUM(O11,O17)</f>
        <v>7392</v>
      </c>
      <c r="AD17" s="893"/>
      <c r="AE17" s="506"/>
      <c r="AF17" s="506"/>
      <c r="AG17" s="94">
        <f t="shared" si="1"/>
        <v>12</v>
      </c>
      <c r="AH17" s="98" t="str">
        <f>IF(AF6&lt;12,"",VLOOKUP(12,B6:N70,4,FALSE))</f>
        <v>Ekert Stanislav</v>
      </c>
      <c r="AI17" s="94">
        <f>IF(AF6&lt;12,"",VLOOKUP(12,B6:N70,10,FALSE))</f>
        <v>761</v>
      </c>
      <c r="AJ17" s="506"/>
      <c r="AK17" s="561"/>
      <c r="AL17" s="476">
        <v>11</v>
      </c>
      <c r="AM17" s="564" t="str">
        <f>IF(AK6&lt;11,"",VLOOKUP(11,U6:W70,2,FALSE))</f>
        <v>VRŠOVICE II.</v>
      </c>
      <c r="AN17" s="669">
        <f>IF(AK6&lt;11,"",VLOOKUP(11,U6:W70,3,FALSE))</f>
        <v>2933</v>
      </c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6"/>
      <c r="B18">
        <f>IF(F18="","",N18)</f>
        <v>16</v>
      </c>
      <c r="C18" s="884">
        <v>3</v>
      </c>
      <c r="D18" s="894" t="s">
        <v>134</v>
      </c>
      <c r="E18" s="704" t="s">
        <v>140</v>
      </c>
      <c r="F18" s="709">
        <v>166</v>
      </c>
      <c r="G18" s="709">
        <v>185</v>
      </c>
      <c r="H18" s="709">
        <v>140</v>
      </c>
      <c r="I18" s="709">
        <v>145</v>
      </c>
      <c r="J18" s="709">
        <v>115</v>
      </c>
      <c r="K18" s="582">
        <f>SUM(F18:J18)</f>
        <v>751</v>
      </c>
      <c r="L18" s="582">
        <f>MAX(F18:J18)</f>
        <v>185</v>
      </c>
      <c r="M18" s="649">
        <f>SUM(K18*1000)+L18+0.045</f>
        <v>751185.04500000004</v>
      </c>
      <c r="N18" s="595">
        <f>IF(F18="","",RANK(M18,M6:M70,0))</f>
        <v>16</v>
      </c>
      <c r="O18" s="582"/>
      <c r="P18" s="662"/>
      <c r="Q18" s="600"/>
      <c r="R18" s="890">
        <f>IF(F18="","",RANK(Q23,Q11:Q71,0))</f>
        <v>4</v>
      </c>
      <c r="S18" s="537"/>
      <c r="T18" s="543">
        <f>IF(F18="","",RANK(AA18,AA6:AA64,0))</f>
        <v>3</v>
      </c>
      <c r="U18" s="543">
        <f>IF(R18="","",R18)</f>
        <v>4</v>
      </c>
      <c r="V18" s="544" t="str">
        <f>IF(D18="","",D18)</f>
        <v>HOSTIVAŘ I.</v>
      </c>
      <c r="W18" s="544">
        <f>IF(O23="","",O23)</f>
        <v>3783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HOSTIVAŘ</v>
      </c>
      <c r="Y18" s="544">
        <f>MAX(F23:J23,F29:J29)+0.04</f>
        <v>852.04</v>
      </c>
      <c r="Z18" s="544">
        <f>SUM(O23,O29)*1000</f>
        <v>6978000</v>
      </c>
      <c r="AA18" s="655">
        <f>SUM(Y18:Z18)</f>
        <v>6978852.04</v>
      </c>
      <c r="AB18" s="557">
        <f>IF(AC29="","",AC29)</f>
        <v>6978</v>
      </c>
      <c r="AC18" s="554"/>
      <c r="AD18" s="862">
        <f>IF(T18="","",T18)</f>
        <v>3</v>
      </c>
      <c r="AE18" s="506"/>
      <c r="AF18" s="506"/>
      <c r="AG18" s="94">
        <f t="shared" si="1"/>
        <v>13</v>
      </c>
      <c r="AH18" s="98" t="str">
        <f>IF(AF6&lt;13,"",VLOOKUP(13,B6:N70,4,FALSE))</f>
        <v>Brož Stanislav</v>
      </c>
      <c r="AI18" s="94">
        <f>IF(AF6&lt;13,"",VLOOKUP(13,B6:N70,10,FALSE))</f>
        <v>757</v>
      </c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6"/>
      <c r="B19">
        <f>IF(F19="","",N19)</f>
        <v>38</v>
      </c>
      <c r="C19" s="885"/>
      <c r="D19" s="895"/>
      <c r="E19" s="703" t="s">
        <v>31</v>
      </c>
      <c r="F19" s="710">
        <v>130</v>
      </c>
      <c r="G19" s="710">
        <v>132</v>
      </c>
      <c r="H19" s="710">
        <v>160</v>
      </c>
      <c r="I19" s="710">
        <v>128</v>
      </c>
      <c r="J19" s="710">
        <v>129</v>
      </c>
      <c r="K19" s="584">
        <f>SUM(F19:J19)</f>
        <v>679</v>
      </c>
      <c r="L19" s="580">
        <f>MAX(F19:J19)</f>
        <v>160</v>
      </c>
      <c r="M19" s="650">
        <f>SUM(K19*1000)+L19+0.044</f>
        <v>679160.04399999999</v>
      </c>
      <c r="N19" s="585">
        <f>IF(F19="","",RANK(M19,M6:M70,0))</f>
        <v>38</v>
      </c>
      <c r="O19" s="584"/>
      <c r="P19" s="663"/>
      <c r="Q19" s="601"/>
      <c r="R19" s="891"/>
      <c r="S19" s="538"/>
      <c r="T19" s="528"/>
      <c r="U19" s="528"/>
      <c r="V19" s="528"/>
      <c r="W19" s="528"/>
      <c r="X19" s="528"/>
      <c r="Y19" s="528"/>
      <c r="Z19" s="528"/>
      <c r="AA19" s="528"/>
      <c r="AB19" s="533"/>
      <c r="AC19" s="555"/>
      <c r="AD19" s="863"/>
      <c r="AE19" s="506"/>
      <c r="AF19" s="506"/>
      <c r="AG19" s="94">
        <f t="shared" si="1"/>
        <v>14</v>
      </c>
      <c r="AH19" s="98" t="str">
        <f>IF(AF6&lt;14,"",VLOOKUP(14,B6:N70,4,FALSE))</f>
        <v>Liebich František</v>
      </c>
      <c r="AI19" s="94">
        <f>IF(AF6&lt;14,"",VLOOKUP(14,B6:N70,10,FALSE))</f>
        <v>756</v>
      </c>
      <c r="AJ19" s="506"/>
      <c r="AK19" s="7">
        <f>COUNT(T6:T64)</f>
        <v>5</v>
      </c>
      <c r="AL19" s="859" t="s">
        <v>181</v>
      </c>
      <c r="AM19" s="860"/>
      <c r="AN19" s="861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6"/>
      <c r="B20">
        <f>IF(F20="","",N20)</f>
        <v>26</v>
      </c>
      <c r="C20" s="885"/>
      <c r="D20" s="895"/>
      <c r="E20" s="703" t="s">
        <v>94</v>
      </c>
      <c r="F20" s="710">
        <v>115</v>
      </c>
      <c r="G20" s="710">
        <v>190</v>
      </c>
      <c r="H20" s="710">
        <v>116</v>
      </c>
      <c r="I20" s="710">
        <v>151</v>
      </c>
      <c r="J20" s="710">
        <v>140</v>
      </c>
      <c r="K20" s="584">
        <f>SUM(F20:J20)</f>
        <v>712</v>
      </c>
      <c r="L20" s="580">
        <f>MAX(F20:J20)</f>
        <v>190</v>
      </c>
      <c r="M20" s="650">
        <f>SUM(K20*1000)+L20+0.043</f>
        <v>712190.04299999995</v>
      </c>
      <c r="N20" s="585">
        <f>IF(F20="","",RANK(M20,M6:M70,0))</f>
        <v>26</v>
      </c>
      <c r="O20" s="584"/>
      <c r="P20" s="663"/>
      <c r="Q20" s="601"/>
      <c r="R20" s="891"/>
      <c r="S20" s="538"/>
      <c r="T20" s="528"/>
      <c r="U20" s="528"/>
      <c r="V20" s="528"/>
      <c r="W20" s="528"/>
      <c r="X20" s="528"/>
      <c r="Y20" s="528"/>
      <c r="Z20" s="528"/>
      <c r="AA20" s="528"/>
      <c r="AB20" s="533"/>
      <c r="AC20" s="555"/>
      <c r="AD20" s="863"/>
      <c r="AE20" s="506"/>
      <c r="AF20" s="506"/>
      <c r="AG20" s="94">
        <f t="shared" si="1"/>
        <v>15</v>
      </c>
      <c r="AH20" s="98" t="str">
        <f>IF(AF6&lt;15,"",VLOOKUP(15,B6:N70,4,FALSE))</f>
        <v>Novotný Lukáš</v>
      </c>
      <c r="AI20" s="94">
        <f>IF(AF6&lt;15,"",VLOOKUP(15,B6:N70,10,FALSE))</f>
        <v>755</v>
      </c>
      <c r="AJ20" s="506"/>
      <c r="AK20" s="561"/>
      <c r="AL20" s="476">
        <v>1</v>
      </c>
      <c r="AM20" s="473" t="str">
        <f>IF(AK19&lt;1,"",VLOOKUP(1,T6:AB64,5,FALSE))</f>
        <v>GARÁŽ ŘEPY</v>
      </c>
      <c r="AN20" s="670">
        <f>IF(AK19&lt;1,"",VLOOKUP(1,T6:AB64,9,FALSE))</f>
        <v>7429</v>
      </c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6"/>
      <c r="B21">
        <f>IF(F21="","",N21)</f>
        <v>7</v>
      </c>
      <c r="C21" s="885"/>
      <c r="D21" s="895"/>
      <c r="E21" s="703" t="s">
        <v>1</v>
      </c>
      <c r="F21" s="710">
        <v>160</v>
      </c>
      <c r="G21" s="710">
        <v>186</v>
      </c>
      <c r="H21" s="710">
        <v>178</v>
      </c>
      <c r="I21" s="710">
        <v>138</v>
      </c>
      <c r="J21" s="710">
        <v>150</v>
      </c>
      <c r="K21" s="584">
        <f>SUM(F21:J21)</f>
        <v>812</v>
      </c>
      <c r="L21" s="580">
        <f>MAX(F21:J21)</f>
        <v>186</v>
      </c>
      <c r="M21" s="650">
        <f>SUM(K21*1000)+L21+0.042</f>
        <v>812186.04200000002</v>
      </c>
      <c r="N21" s="585">
        <f>IF(F21="","",RANK(M21,M6:M70,0))</f>
        <v>7</v>
      </c>
      <c r="O21" s="584"/>
      <c r="P21" s="663"/>
      <c r="Q21" s="601"/>
      <c r="R21" s="891"/>
      <c r="S21" s="538"/>
      <c r="T21" s="528"/>
      <c r="U21" s="528"/>
      <c r="V21" s="528"/>
      <c r="W21" s="528"/>
      <c r="X21" s="528"/>
      <c r="Y21" s="528"/>
      <c r="Z21" s="528"/>
      <c r="AA21" s="528"/>
      <c r="AB21" s="533"/>
      <c r="AC21" s="555"/>
      <c r="AD21" s="863"/>
      <c r="AE21" s="506"/>
      <c r="AF21" s="506"/>
      <c r="AG21" s="94">
        <f t="shared" si="1"/>
        <v>16</v>
      </c>
      <c r="AH21" s="98" t="str">
        <f>IF(AF6&lt;16,"",VLOOKUP(16,B6:N70,4,FALSE))</f>
        <v>Berger Michal</v>
      </c>
      <c r="AI21" s="94">
        <f>IF(AF6&lt;16,"",VLOOKUP(16,B6:N70,10,FALSE))</f>
        <v>751</v>
      </c>
      <c r="AJ21" s="506"/>
      <c r="AK21" s="561"/>
      <c r="AL21" s="476">
        <v>2</v>
      </c>
      <c r="AM21" s="474" t="str">
        <f>IF(AK19&lt;2,"",VLOOKUP(2,T6:AB64,5,FALSE))</f>
        <v>GARÁŽ KAČEROV</v>
      </c>
      <c r="AN21" s="670">
        <f>IF(AK19&lt;2,"",VLOOKUP(2,T6:AB64,9,FALSE))</f>
        <v>7392</v>
      </c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6"/>
      <c r="B22">
        <f>IF(F22="","",N22)</f>
        <v>4</v>
      </c>
      <c r="C22" s="886"/>
      <c r="D22" s="896"/>
      <c r="E22" s="703" t="s">
        <v>212</v>
      </c>
      <c r="F22" s="711">
        <v>151</v>
      </c>
      <c r="G22" s="711">
        <v>159</v>
      </c>
      <c r="H22" s="711">
        <v>139</v>
      </c>
      <c r="I22" s="711">
        <v>157</v>
      </c>
      <c r="J22" s="711">
        <v>223</v>
      </c>
      <c r="K22" s="598">
        <f>SUM(F22:J22)</f>
        <v>829</v>
      </c>
      <c r="L22" s="588">
        <f>MAX(F22:J22)</f>
        <v>223</v>
      </c>
      <c r="M22" s="651">
        <f>SUM(K22*1000)+L22+0.041</f>
        <v>829223.04099999997</v>
      </c>
      <c r="N22" s="596">
        <f>IF(F22="","",RANK(M22,M6:M70,0))</f>
        <v>4</v>
      </c>
      <c r="O22" s="598"/>
      <c r="P22" s="664"/>
      <c r="Q22" s="602"/>
      <c r="R22" s="892"/>
      <c r="S22" s="540"/>
      <c r="T22" s="529"/>
      <c r="U22" s="529"/>
      <c r="V22" s="529"/>
      <c r="W22" s="529"/>
      <c r="X22" s="529"/>
      <c r="Y22" s="529"/>
      <c r="Z22" s="529"/>
      <c r="AA22" s="529"/>
      <c r="AB22" s="534"/>
      <c r="AC22" s="555"/>
      <c r="AD22" s="863"/>
      <c r="AE22" s="506"/>
      <c r="AF22" s="506"/>
      <c r="AG22" s="94">
        <f t="shared" si="1"/>
        <v>17</v>
      </c>
      <c r="AH22" s="98" t="str">
        <f>IF(AF6&lt;17,"",VLOOKUP(17,B6:N70,4,FALSE))</f>
        <v>Turek Stanislav</v>
      </c>
      <c r="AI22" s="94">
        <f>IF(AF6&lt;17,"",VLOOKUP(17,B6:N70,10,FALSE))</f>
        <v>749</v>
      </c>
      <c r="AJ22" s="506"/>
      <c r="AK22" s="561"/>
      <c r="AL22" s="476">
        <v>3</v>
      </c>
      <c r="AM22" s="474" t="str">
        <f>IF(AK19&lt;3,"",VLOOKUP(3,T6:AB64,5,FALSE))</f>
        <v>GARÁŽ HOSTIVAŘ</v>
      </c>
      <c r="AN22" s="670">
        <f>IF(AK19&lt;3,"",VLOOKUP(3,T6:AB64,9,FALSE))</f>
        <v>6978</v>
      </c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6"/>
      <c r="C23" s="523"/>
      <c r="D23" s="593"/>
      <c r="E23" s="497"/>
      <c r="F23" s="590">
        <f>SUM(F18:F22)</f>
        <v>722</v>
      </c>
      <c r="G23" s="590">
        <f>SUM(G18:G22)</f>
        <v>852</v>
      </c>
      <c r="H23" s="590">
        <f>SUM(H18:H22)</f>
        <v>733</v>
      </c>
      <c r="I23" s="590">
        <f>SUM(I18:I22)</f>
        <v>719</v>
      </c>
      <c r="J23" s="590">
        <f>SUM(J18:J22)</f>
        <v>757</v>
      </c>
      <c r="K23" s="575"/>
      <c r="L23" s="575"/>
      <c r="M23" s="652"/>
      <c r="N23" s="587"/>
      <c r="O23" s="588">
        <f>SUM(F23:J23)</f>
        <v>3783</v>
      </c>
      <c r="P23" s="660">
        <f>MAX(F23:J23)+0.008</f>
        <v>852.00800000000004</v>
      </c>
      <c r="Q23" s="589">
        <f>IF(F18="","",SUM(O23*1000)+P23)</f>
        <v>3783852.0079999999</v>
      </c>
      <c r="R23" s="592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2"/>
      <c r="AD23" s="863"/>
      <c r="AE23" s="506"/>
      <c r="AF23" s="506"/>
      <c r="AG23" s="94">
        <f t="shared" si="1"/>
        <v>18</v>
      </c>
      <c r="AH23" s="98" t="str">
        <f>IF(AF6&lt;18,"",VLOOKUP(18,B6:N70,4,FALSE))</f>
        <v>Ondřich František</v>
      </c>
      <c r="AI23" s="94">
        <f>IF(AF6&lt;18,"",VLOOKUP(18,B6:N70,10,FALSE))</f>
        <v>749</v>
      </c>
      <c r="AJ23" s="506"/>
      <c r="AK23" s="561"/>
      <c r="AL23" s="476">
        <v>4</v>
      </c>
      <c r="AM23" s="474" t="str">
        <f>IF(AK19&lt;4,"",VLOOKUP(4,T6:AB64,5,FALSE))</f>
        <v>GARÁŽ VRŠOVICE</v>
      </c>
      <c r="AN23" s="670">
        <f>IF(AK19&lt;4,"",VLOOKUP(4,T6:AB64,9,FALSE))</f>
        <v>6824</v>
      </c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6"/>
      <c r="B24">
        <f>IF(F24="","",N24)</f>
        <v>33</v>
      </c>
      <c r="C24" s="884">
        <v>4</v>
      </c>
      <c r="D24" s="894" t="s">
        <v>135</v>
      </c>
      <c r="E24" s="704" t="s">
        <v>14</v>
      </c>
      <c r="F24" s="709">
        <v>141</v>
      </c>
      <c r="G24" s="709">
        <v>110</v>
      </c>
      <c r="H24" s="709">
        <v>168</v>
      </c>
      <c r="I24" s="709">
        <v>132</v>
      </c>
      <c r="J24" s="709">
        <v>143</v>
      </c>
      <c r="K24" s="582">
        <f>SUM(F24:J24)</f>
        <v>694</v>
      </c>
      <c r="L24" s="582">
        <f>MAX(F24:J24)</f>
        <v>168</v>
      </c>
      <c r="M24" s="649">
        <f>SUM(K24*1000)+L24+0.04</f>
        <v>694168.04</v>
      </c>
      <c r="N24" s="595">
        <f>IF(F24="","",RANK(M24,M6:M70,0))</f>
        <v>33</v>
      </c>
      <c r="O24" s="582"/>
      <c r="P24" s="662"/>
      <c r="Q24" s="597"/>
      <c r="R24" s="890">
        <f>IF(F24="","",RANK(Q29,Q11:Q71,0))</f>
        <v>9</v>
      </c>
      <c r="S24" s="537"/>
      <c r="T24" s="527"/>
      <c r="U24" s="543">
        <f>IF(R24="","",R24)</f>
        <v>9</v>
      </c>
      <c r="V24" s="544" t="str">
        <f>IF(D24="","",D24)</f>
        <v>HOSTIVAŘ II.</v>
      </c>
      <c r="W24" s="547">
        <f>IF(O29="","",O29)</f>
        <v>3195</v>
      </c>
      <c r="X24" s="527"/>
      <c r="Y24" s="527"/>
      <c r="Z24" s="527"/>
      <c r="AA24" s="527"/>
      <c r="AB24" s="558"/>
      <c r="AC24" s="555"/>
      <c r="AD24" s="863"/>
      <c r="AE24" s="506"/>
      <c r="AF24" s="506"/>
      <c r="AG24" s="94">
        <f t="shared" si="1"/>
        <v>19</v>
      </c>
      <c r="AH24" s="98" t="str">
        <f>IF(AF6&lt;19,"",VLOOKUP(19,B6:N70,4,FALSE))</f>
        <v>Holkup Jan</v>
      </c>
      <c r="AI24" s="94">
        <f>IF(AF6&lt;19,"",VLOOKUP(19,B6:N70,10,FALSE))</f>
        <v>748</v>
      </c>
      <c r="AJ24" s="506"/>
      <c r="AK24" s="561"/>
      <c r="AL24" s="476">
        <v>5</v>
      </c>
      <c r="AM24" s="474" t="str">
        <f>IF(AK19&lt;5,"",VLOOKUP(5,T6:AB64,5,FALSE))</f>
        <v>GARÁŽ KLÍČOV</v>
      </c>
      <c r="AN24" s="670">
        <f>IF(AK19&lt;5,"",VLOOKUP(5,T6:AB64,9,FALSE))</f>
        <v>6807</v>
      </c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6"/>
      <c r="B25">
        <f>IF(F25="","",N25)</f>
        <v>41</v>
      </c>
      <c r="C25" s="885"/>
      <c r="D25" s="895"/>
      <c r="E25" s="703" t="s">
        <v>213</v>
      </c>
      <c r="F25" s="710">
        <v>159</v>
      </c>
      <c r="G25" s="710">
        <v>113</v>
      </c>
      <c r="H25" s="710">
        <v>132</v>
      </c>
      <c r="I25" s="710">
        <v>147</v>
      </c>
      <c r="J25" s="710">
        <v>116</v>
      </c>
      <c r="K25" s="584">
        <f>SUM(F25:J25)</f>
        <v>667</v>
      </c>
      <c r="L25" s="580">
        <f>MAX(F25:J25)</f>
        <v>159</v>
      </c>
      <c r="M25" s="650">
        <f>SUM(K25*1000)+L25+0.039</f>
        <v>667159.03899999999</v>
      </c>
      <c r="N25" s="585">
        <f>IF(F25="","",RANK(M25,M6:M70,0))</f>
        <v>41</v>
      </c>
      <c r="O25" s="584"/>
      <c r="P25" s="663"/>
      <c r="Q25" s="586"/>
      <c r="R25" s="891"/>
      <c r="S25" s="538"/>
      <c r="T25" s="528"/>
      <c r="U25" s="528"/>
      <c r="V25" s="528"/>
      <c r="W25" s="528"/>
      <c r="X25" s="528"/>
      <c r="Y25" s="528"/>
      <c r="Z25" s="528"/>
      <c r="AA25" s="528"/>
      <c r="AB25" s="533"/>
      <c r="AC25" s="555"/>
      <c r="AD25" s="863"/>
      <c r="AE25" s="506"/>
      <c r="AF25" s="506"/>
      <c r="AG25" s="94">
        <f t="shared" si="1"/>
        <v>20</v>
      </c>
      <c r="AH25" s="98" t="str">
        <f>IF(AF6&lt;20,"",VLOOKUP(20,B6:N70,4,FALSE))</f>
        <v>Carvan Pavel</v>
      </c>
      <c r="AI25" s="94">
        <f>IF(AF6&lt;20,"",VLOOKUP(20,B6:N70,10,FALSE))</f>
        <v>748</v>
      </c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6"/>
      <c r="B26">
        <f>IF(F26="","",N26)</f>
        <v>48</v>
      </c>
      <c r="C26" s="885"/>
      <c r="D26" s="895"/>
      <c r="E26" s="703" t="s">
        <v>15</v>
      </c>
      <c r="F26" s="710">
        <v>114</v>
      </c>
      <c r="G26" s="710">
        <v>111</v>
      </c>
      <c r="H26" s="710">
        <v>130</v>
      </c>
      <c r="I26" s="710">
        <v>138</v>
      </c>
      <c r="J26" s="710">
        <v>113</v>
      </c>
      <c r="K26" s="584">
        <f>SUM(F26:J26)</f>
        <v>606</v>
      </c>
      <c r="L26" s="580">
        <f>MAX(F26:J26)</f>
        <v>138</v>
      </c>
      <c r="M26" s="650">
        <f>SUM(K26*1000)+L26+0.038</f>
        <v>606138.03799999994</v>
      </c>
      <c r="N26" s="585">
        <f>IF(F26="","",RANK(M26,M6:M70,0))</f>
        <v>48</v>
      </c>
      <c r="O26" s="584"/>
      <c r="P26" s="663"/>
      <c r="Q26" s="586"/>
      <c r="R26" s="891"/>
      <c r="S26" s="538"/>
      <c r="T26" s="528"/>
      <c r="U26" s="528"/>
      <c r="V26" s="528"/>
      <c r="W26" s="528"/>
      <c r="X26" s="528"/>
      <c r="Y26" s="528"/>
      <c r="Z26" s="528"/>
      <c r="AA26" s="528"/>
      <c r="AB26" s="533"/>
      <c r="AC26" s="555"/>
      <c r="AD26" s="863"/>
      <c r="AE26" s="506"/>
      <c r="AF26" s="506"/>
      <c r="AG26" s="94">
        <f t="shared" si="1"/>
        <v>21</v>
      </c>
      <c r="AH26" s="98" t="str">
        <f>IF(AF6&lt;21,"",VLOOKUP(21,B6:N70,4,FALSE))</f>
        <v>Hübner Jiří</v>
      </c>
      <c r="AI26" s="94">
        <f>IF(AF6&lt;21,"",VLOOKUP(21,B6:N70,10,FALSE))</f>
        <v>737</v>
      </c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6"/>
      <c r="B27">
        <f>IF(F27="","",N27)</f>
        <v>47</v>
      </c>
      <c r="C27" s="885"/>
      <c r="D27" s="895"/>
      <c r="E27" s="703" t="s">
        <v>72</v>
      </c>
      <c r="F27" s="710">
        <v>141</v>
      </c>
      <c r="G27" s="710">
        <v>135</v>
      </c>
      <c r="H27" s="710">
        <v>122</v>
      </c>
      <c r="I27" s="710">
        <v>103</v>
      </c>
      <c r="J27" s="710">
        <v>105</v>
      </c>
      <c r="K27" s="584">
        <f>SUM(F27:J27)</f>
        <v>606</v>
      </c>
      <c r="L27" s="580">
        <f>MAX(F27:J27)</f>
        <v>141</v>
      </c>
      <c r="M27" s="650">
        <f>SUM(K27*1000)+L27+0.037</f>
        <v>606141.03700000001</v>
      </c>
      <c r="N27" s="585">
        <f>IF(F27="","",RANK(M27,M6:M70,0))</f>
        <v>47</v>
      </c>
      <c r="O27" s="584"/>
      <c r="P27" s="663"/>
      <c r="Q27" s="586"/>
      <c r="R27" s="891"/>
      <c r="S27" s="538"/>
      <c r="T27" s="528"/>
      <c r="U27" s="528"/>
      <c r="V27" s="528"/>
      <c r="W27" s="528"/>
      <c r="X27" s="528"/>
      <c r="Y27" s="528"/>
      <c r="Z27" s="528"/>
      <c r="AA27" s="528"/>
      <c r="AB27" s="533"/>
      <c r="AC27" s="555"/>
      <c r="AD27" s="863"/>
      <c r="AE27" s="506"/>
      <c r="AF27" s="506"/>
      <c r="AG27" s="94">
        <f t="shared" si="1"/>
        <v>22</v>
      </c>
      <c r="AH27" s="98" t="str">
        <f>IF(AF6&lt;22,"",VLOOKUP(22,B6:N70,4,FALSE))</f>
        <v>Kalfiřt Petr</v>
      </c>
      <c r="AI27" s="94">
        <f>IF(AF6&lt;22,"",VLOOKUP(22,B6:N70,10,FALSE))</f>
        <v>722</v>
      </c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6"/>
      <c r="B28">
        <f>IF(F28="","",N28)</f>
        <v>45</v>
      </c>
      <c r="C28" s="886"/>
      <c r="D28" s="896"/>
      <c r="E28" s="703" t="s">
        <v>214</v>
      </c>
      <c r="F28" s="711">
        <v>125</v>
      </c>
      <c r="G28" s="711">
        <v>123</v>
      </c>
      <c r="H28" s="711">
        <v>125</v>
      </c>
      <c r="I28" s="711">
        <v>128</v>
      </c>
      <c r="J28" s="711">
        <v>121</v>
      </c>
      <c r="K28" s="598">
        <f>SUM(F28:J28)</f>
        <v>622</v>
      </c>
      <c r="L28" s="588">
        <f>MAX(F28:J28)</f>
        <v>128</v>
      </c>
      <c r="M28" s="651">
        <f>SUM(K28*1000)+L28+0.036</f>
        <v>622128.03599999996</v>
      </c>
      <c r="N28" s="596">
        <f>IF(F28="","",RANK(M28,M6:M70,0))</f>
        <v>45</v>
      </c>
      <c r="O28" s="598"/>
      <c r="P28" s="664"/>
      <c r="Q28" s="599"/>
      <c r="R28" s="892"/>
      <c r="S28" s="540"/>
      <c r="T28" s="529"/>
      <c r="U28" s="529"/>
      <c r="V28" s="529"/>
      <c r="W28" s="529"/>
      <c r="X28" s="529"/>
      <c r="Y28" s="529"/>
      <c r="Z28" s="529"/>
      <c r="AA28" s="529"/>
      <c r="AB28" s="534"/>
      <c r="AC28" s="542"/>
      <c r="AD28" s="864"/>
      <c r="AE28" s="506"/>
      <c r="AF28" s="506"/>
      <c r="AG28" s="94">
        <f t="shared" si="1"/>
        <v>23</v>
      </c>
      <c r="AH28" s="98" t="str">
        <f>IF(AF6&lt;23,"",VLOOKUP(23,B6:N70,4,FALSE))</f>
        <v>Tomášek Zdeněk</v>
      </c>
      <c r="AI28" s="94">
        <f>IF(AF6&lt;23,"",VLOOKUP(23,B6:N70,10,FALSE))</f>
        <v>721</v>
      </c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6"/>
      <c r="C29" s="524"/>
      <c r="D29" s="618"/>
      <c r="E29" s="574"/>
      <c r="F29" s="571">
        <f>SUM(F24:F28)</f>
        <v>680</v>
      </c>
      <c r="G29" s="571">
        <f>SUM(G24:G28)</f>
        <v>592</v>
      </c>
      <c r="H29" s="571">
        <f>SUM(H24:H28)</f>
        <v>677</v>
      </c>
      <c r="I29" s="571">
        <f>SUM(I24:I28)</f>
        <v>648</v>
      </c>
      <c r="J29" s="571">
        <f>SUM(J24:J28)</f>
        <v>598</v>
      </c>
      <c r="K29" s="619"/>
      <c r="L29" s="619"/>
      <c r="M29" s="648"/>
      <c r="N29" s="619"/>
      <c r="O29" s="619">
        <f>SUM(F29:J29)</f>
        <v>3195</v>
      </c>
      <c r="P29" s="661">
        <f>MAX(F29:J29)+0.007</f>
        <v>680.00699999999995</v>
      </c>
      <c r="Q29" s="620">
        <f>IF(F24="","",SUM(O29*1000)+P29)</f>
        <v>3195680.0070000002</v>
      </c>
      <c r="R29" s="621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893">
        <f>SUM(O23,O29)</f>
        <v>6978</v>
      </c>
      <c r="AD29" s="893"/>
      <c r="AE29" s="506"/>
      <c r="AF29" s="506"/>
      <c r="AG29" s="94">
        <f t="shared" si="1"/>
        <v>24</v>
      </c>
      <c r="AH29" s="98" t="str">
        <f>IF(AF6&lt;24,"",VLOOKUP(24,B6:N70,4,FALSE))</f>
        <v>Kročil Tomáš</v>
      </c>
      <c r="AI29" s="94">
        <f>IF(AF6&lt;24,"",VLOOKUP(24,B6:N70,10,FALSE))</f>
        <v>721</v>
      </c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6"/>
      <c r="B30">
        <f>IF(F30="","",N30)</f>
        <v>3</v>
      </c>
      <c r="C30" s="884">
        <v>5</v>
      </c>
      <c r="D30" s="900" t="s">
        <v>136</v>
      </c>
      <c r="E30" s="704" t="s">
        <v>93</v>
      </c>
      <c r="F30" s="709">
        <v>135</v>
      </c>
      <c r="G30" s="709">
        <v>202</v>
      </c>
      <c r="H30" s="709">
        <v>188</v>
      </c>
      <c r="I30" s="709">
        <v>170</v>
      </c>
      <c r="J30" s="709">
        <v>149</v>
      </c>
      <c r="K30" s="582">
        <f>SUM(F30:J30)</f>
        <v>844</v>
      </c>
      <c r="L30" s="582">
        <f>MAX(F30:J30)</f>
        <v>202</v>
      </c>
      <c r="M30" s="649">
        <f>SUM(K30*1000)+L30+0.035</f>
        <v>844202.03500000003</v>
      </c>
      <c r="N30" s="595">
        <f>IF(F30="","",RANK(M30,M6:M70,0))</f>
        <v>3</v>
      </c>
      <c r="O30" s="582"/>
      <c r="P30" s="662"/>
      <c r="Q30" s="597"/>
      <c r="R30" s="881">
        <f>IF(F30="","",RANK(Q35,Q11:Q71,0))</f>
        <v>1</v>
      </c>
      <c r="S30" s="537"/>
      <c r="T30" s="543">
        <f>IF(F30="","",RANK(AA30,AA6:AA64,0))</f>
        <v>4</v>
      </c>
      <c r="U30" s="543">
        <f>IF(R30="","",R30)</f>
        <v>1</v>
      </c>
      <c r="V30" s="544" t="str">
        <f>IF(D30="","",D30)</f>
        <v>VRŠOVICE I.</v>
      </c>
      <c r="W30" s="544">
        <f>IF(O35="","",O35)</f>
        <v>3891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VRŠOVICE</v>
      </c>
      <c r="Y30" s="544">
        <f>MAX(F35:J35,F41:J41)+0.03</f>
        <v>838.03</v>
      </c>
      <c r="Z30" s="544">
        <f>SUM(O35,O41)*1000</f>
        <v>6824000</v>
      </c>
      <c r="AA30" s="655">
        <f>SUM(Y30:Z30)</f>
        <v>6824838.0300000003</v>
      </c>
      <c r="AB30" s="545">
        <f>IF(AC41="","",AC41)</f>
        <v>6824</v>
      </c>
      <c r="AC30" s="535"/>
      <c r="AD30" s="862">
        <f>IF(T30="","",T30)</f>
        <v>4</v>
      </c>
      <c r="AE30" s="506"/>
      <c r="AF30" s="506"/>
      <c r="AG30" s="94">
        <f t="shared" si="1"/>
        <v>25</v>
      </c>
      <c r="AH30" s="98" t="str">
        <f>IF(AF6&lt;25,"",VLOOKUP(25,B6:N70,4,FALSE))</f>
        <v>Radová Petra</v>
      </c>
      <c r="AI30" s="94">
        <f>IF(AF6&lt;25,"",VLOOKUP(25,B6:N70,10,FALSE))</f>
        <v>716</v>
      </c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6"/>
      <c r="B31">
        <f>IF(F31="","",N31)</f>
        <v>1</v>
      </c>
      <c r="C31" s="885"/>
      <c r="D31" s="901"/>
      <c r="E31" s="703" t="s">
        <v>97</v>
      </c>
      <c r="F31" s="710">
        <v>133</v>
      </c>
      <c r="G31" s="710">
        <v>162</v>
      </c>
      <c r="H31" s="710">
        <v>207</v>
      </c>
      <c r="I31" s="710">
        <v>176</v>
      </c>
      <c r="J31" s="710">
        <v>179</v>
      </c>
      <c r="K31" s="584">
        <f>SUM(F31:J31)</f>
        <v>857</v>
      </c>
      <c r="L31" s="580">
        <f>MAX(F31:J31)</f>
        <v>207</v>
      </c>
      <c r="M31" s="650">
        <f>SUM(K31*1000)+L31+0.034</f>
        <v>857207.03399999999</v>
      </c>
      <c r="N31" s="585">
        <f>IF(F31="","",RANK(M31,M6:M70,0))</f>
        <v>1</v>
      </c>
      <c r="O31" s="584"/>
      <c r="P31" s="663"/>
      <c r="Q31" s="586"/>
      <c r="R31" s="882"/>
      <c r="S31" s="538"/>
      <c r="T31" s="528"/>
      <c r="U31" s="528"/>
      <c r="V31" s="528"/>
      <c r="W31" s="528"/>
      <c r="X31" s="528"/>
      <c r="Y31" s="528"/>
      <c r="Z31" s="528"/>
      <c r="AA31" s="528"/>
      <c r="AB31" s="539"/>
      <c r="AC31" s="532"/>
      <c r="AD31" s="863"/>
      <c r="AE31" s="506"/>
      <c r="AF31" s="506"/>
      <c r="AG31" s="94">
        <f t="shared" si="1"/>
        <v>26</v>
      </c>
      <c r="AH31" s="98" t="str">
        <f>IF(AF6&lt;26,"",VLOOKUP(26,B6:N70,4,FALSE))</f>
        <v>Růžička Ladislav</v>
      </c>
      <c r="AI31" s="94">
        <f>IF(AF6&lt;26,"",VLOOKUP(26,B6:N70,10,FALSE))</f>
        <v>712</v>
      </c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6"/>
      <c r="B32">
        <f>IF(F32="","",N32)</f>
        <v>19</v>
      </c>
      <c r="C32" s="885"/>
      <c r="D32" s="901"/>
      <c r="E32" s="703" t="s">
        <v>59</v>
      </c>
      <c r="F32" s="710">
        <v>91</v>
      </c>
      <c r="G32" s="710">
        <v>132</v>
      </c>
      <c r="H32" s="710">
        <v>172</v>
      </c>
      <c r="I32" s="710">
        <v>190</v>
      </c>
      <c r="J32" s="710">
        <v>163</v>
      </c>
      <c r="K32" s="584">
        <f>SUM(F32:J32)</f>
        <v>748</v>
      </c>
      <c r="L32" s="580">
        <f>MAX(F32:J32)</f>
        <v>190</v>
      </c>
      <c r="M32" s="650">
        <f>SUM(K32*1000)+L32+0.033</f>
        <v>748190.03300000005</v>
      </c>
      <c r="N32" s="585">
        <f>IF(F32="","",RANK(M32,M6:M70,0))</f>
        <v>19</v>
      </c>
      <c r="O32" s="584"/>
      <c r="P32" s="663"/>
      <c r="Q32" s="586"/>
      <c r="R32" s="882"/>
      <c r="S32" s="538"/>
      <c r="T32" s="528"/>
      <c r="U32" s="528"/>
      <c r="V32" s="528"/>
      <c r="W32" s="528"/>
      <c r="X32" s="528"/>
      <c r="Y32" s="528"/>
      <c r="Z32" s="528"/>
      <c r="AA32" s="528"/>
      <c r="AB32" s="539"/>
      <c r="AC32" s="532"/>
      <c r="AD32" s="863"/>
      <c r="AE32" s="506"/>
      <c r="AF32" s="506"/>
      <c r="AG32" s="94">
        <f t="shared" si="1"/>
        <v>27</v>
      </c>
      <c r="AH32" s="98" t="str">
        <f>IF(AF6&lt;27,"",VLOOKUP(27,B6:N70,4,FALSE))</f>
        <v>Douša Adam</v>
      </c>
      <c r="AI32" s="94">
        <f>IF(AF6&lt;27,"",VLOOKUP(27,B6:N70,10,FALSE))</f>
        <v>712</v>
      </c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6"/>
      <c r="B33">
        <f>IF(F33="","",N33)</f>
        <v>34</v>
      </c>
      <c r="C33" s="885"/>
      <c r="D33" s="901"/>
      <c r="E33" s="703" t="s">
        <v>102</v>
      </c>
      <c r="F33" s="710">
        <v>161</v>
      </c>
      <c r="G33" s="710">
        <v>147</v>
      </c>
      <c r="H33" s="710">
        <v>134</v>
      </c>
      <c r="I33" s="710">
        <v>135</v>
      </c>
      <c r="J33" s="710">
        <v>109</v>
      </c>
      <c r="K33" s="584">
        <f>SUM(F33:J33)</f>
        <v>686</v>
      </c>
      <c r="L33" s="580">
        <f>MAX(F33:J33)</f>
        <v>161</v>
      </c>
      <c r="M33" s="650">
        <f>SUM(K33*1000)+L33+0.032</f>
        <v>686161.03200000001</v>
      </c>
      <c r="N33" s="585">
        <f>IF(F33="","",RANK(M33,M6:M70,0))</f>
        <v>34</v>
      </c>
      <c r="O33" s="584"/>
      <c r="P33" s="663"/>
      <c r="Q33" s="586"/>
      <c r="R33" s="882"/>
      <c r="S33" s="538"/>
      <c r="T33" s="528"/>
      <c r="U33" s="528"/>
      <c r="V33" s="528"/>
      <c r="W33" s="528"/>
      <c r="X33" s="528"/>
      <c r="Y33" s="528"/>
      <c r="Z33" s="528"/>
      <c r="AA33" s="528"/>
      <c r="AB33" s="539"/>
      <c r="AC33" s="532"/>
      <c r="AD33" s="863"/>
      <c r="AE33" s="506"/>
      <c r="AF33" s="506"/>
      <c r="AG33" s="94">
        <f t="shared" si="1"/>
        <v>28</v>
      </c>
      <c r="AH33" s="98" t="str">
        <f>IF(AF6&lt;28,"",VLOOKUP(28,B6:N70,4,FALSE))</f>
        <v>Bošek Jan</v>
      </c>
      <c r="AI33" s="94">
        <f>IF(AF6&lt;28,"",VLOOKUP(28,B6:N70,10,FALSE))</f>
        <v>710</v>
      </c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6"/>
      <c r="B34">
        <f>IF(F34="","",N34)</f>
        <v>14</v>
      </c>
      <c r="C34" s="886"/>
      <c r="D34" s="902"/>
      <c r="E34" s="717" t="s">
        <v>215</v>
      </c>
      <c r="F34" s="711">
        <v>159</v>
      </c>
      <c r="G34" s="711">
        <v>140</v>
      </c>
      <c r="H34" s="711">
        <v>137</v>
      </c>
      <c r="I34" s="711">
        <v>149</v>
      </c>
      <c r="J34" s="711">
        <v>171</v>
      </c>
      <c r="K34" s="598">
        <f>SUM(F34:J34)</f>
        <v>756</v>
      </c>
      <c r="L34" s="588">
        <f>MAX(F34:J34)</f>
        <v>171</v>
      </c>
      <c r="M34" s="651">
        <f>SUM(K34*1000)+L34+0.031</f>
        <v>756171.03099999996</v>
      </c>
      <c r="N34" s="596">
        <f>IF(F34="","",RANK(M34,M6:M70,0))</f>
        <v>14</v>
      </c>
      <c r="O34" s="598"/>
      <c r="P34" s="664"/>
      <c r="Q34" s="599"/>
      <c r="R34" s="883"/>
      <c r="S34" s="540"/>
      <c r="T34" s="529"/>
      <c r="U34" s="529"/>
      <c r="V34" s="529"/>
      <c r="W34" s="529"/>
      <c r="X34" s="529"/>
      <c r="Y34" s="529"/>
      <c r="Z34" s="529"/>
      <c r="AA34" s="529"/>
      <c r="AB34" s="541"/>
      <c r="AC34" s="532"/>
      <c r="AD34" s="863"/>
      <c r="AE34" s="506"/>
      <c r="AF34" s="506"/>
      <c r="AG34" s="94">
        <f t="shared" si="1"/>
        <v>29</v>
      </c>
      <c r="AH34" s="98" t="str">
        <f>IF(AF6&lt;29,"",VLOOKUP(29,B6:N70,4,FALSE))</f>
        <v>Křikavová Miroslava</v>
      </c>
      <c r="AI34" s="94">
        <f>IF(AF6&lt;29,"",VLOOKUP(29,B6:N70,10,FALSE))</f>
        <v>709</v>
      </c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6"/>
      <c r="C35" s="523"/>
      <c r="D35" s="623"/>
      <c r="E35" s="492"/>
      <c r="F35" s="575">
        <f>SUM(F30:F34)</f>
        <v>679</v>
      </c>
      <c r="G35" s="575">
        <f>SUM(G30:G34)</f>
        <v>783</v>
      </c>
      <c r="H35" s="575">
        <f>SUM(H30:H34)</f>
        <v>838</v>
      </c>
      <c r="I35" s="575">
        <f>SUM(I30:I34)</f>
        <v>820</v>
      </c>
      <c r="J35" s="575">
        <f>SUM(J30:J34)</f>
        <v>771</v>
      </c>
      <c r="K35" s="587"/>
      <c r="L35" s="587"/>
      <c r="M35" s="652"/>
      <c r="N35" s="587"/>
      <c r="O35" s="587">
        <f>SUM(F35:J35)</f>
        <v>3891</v>
      </c>
      <c r="P35" s="660">
        <f>MAX(F35:J35)+0.006</f>
        <v>838.00599999999997</v>
      </c>
      <c r="Q35" s="589">
        <f>IF(F30="","",SUM(O35*1000)+P35)</f>
        <v>3891838.0060000001</v>
      </c>
      <c r="R35" s="624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2"/>
      <c r="AD35" s="863"/>
      <c r="AE35" s="506"/>
      <c r="AF35" s="506"/>
      <c r="AG35" s="94">
        <f t="shared" si="1"/>
        <v>30</v>
      </c>
      <c r="AH35" s="98" t="str">
        <f>IF(AF6&lt;30,"",VLOOKUP(30,B6:N70,4,FALSE))</f>
        <v>Pecka Jiří</v>
      </c>
      <c r="AI35" s="94">
        <f>IF(AF6&lt;30,"",VLOOKUP(30,B6:N70,10,FALSE))</f>
        <v>709</v>
      </c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6"/>
      <c r="B36">
        <f>IF(F36="","",N36)</f>
        <v>53</v>
      </c>
      <c r="C36" s="884">
        <v>6</v>
      </c>
      <c r="D36" s="900" t="s">
        <v>137</v>
      </c>
      <c r="E36" s="704" t="s">
        <v>216</v>
      </c>
      <c r="F36" s="709">
        <v>77</v>
      </c>
      <c r="G36" s="709">
        <v>122</v>
      </c>
      <c r="H36" s="709">
        <v>133</v>
      </c>
      <c r="I36" s="709">
        <v>104</v>
      </c>
      <c r="J36" s="709">
        <v>94</v>
      </c>
      <c r="K36" s="582">
        <f>SUM(F36:J36)</f>
        <v>530</v>
      </c>
      <c r="L36" s="582">
        <f>MAX(F36:J36)</f>
        <v>133</v>
      </c>
      <c r="M36" s="649">
        <f>SUM(K36*1000)+L36+0.03</f>
        <v>530133.03</v>
      </c>
      <c r="N36" s="595">
        <f>IF(F36="","",RANK(M36,M6:M70,0))</f>
        <v>53</v>
      </c>
      <c r="O36" s="582"/>
      <c r="P36" s="662"/>
      <c r="Q36" s="597"/>
      <c r="R36" s="881">
        <f>IF(F36="","",RANK(Q41,Q11:Q71,0))</f>
        <v>11</v>
      </c>
      <c r="S36" s="537"/>
      <c r="T36" s="527"/>
      <c r="U36" s="543">
        <f>IF(R36="","",R36)</f>
        <v>11</v>
      </c>
      <c r="V36" s="544" t="str">
        <f>IF(D36="","",D36)</f>
        <v>VRŠOVICE II.</v>
      </c>
      <c r="W36" s="547">
        <f>IF(O41="","",O41)</f>
        <v>2933</v>
      </c>
      <c r="X36" s="527"/>
      <c r="Y36" s="527"/>
      <c r="Z36" s="527"/>
      <c r="AA36" s="527"/>
      <c r="AB36" s="548"/>
      <c r="AC36" s="532"/>
      <c r="AD36" s="863"/>
      <c r="AE36" s="506"/>
      <c r="AF36" s="506"/>
      <c r="AG36" s="94">
        <f t="shared" si="1"/>
        <v>31</v>
      </c>
      <c r="AH36" s="98" t="str">
        <f>IF(AF6&lt;31,"",VLOOKUP(31,B6:N70,4,FALSE))</f>
        <v>Ekert Michal</v>
      </c>
      <c r="AI36" s="94">
        <f>IF(AF6&lt;31,"",VLOOKUP(31,B6:N70,10,FALSE))</f>
        <v>701</v>
      </c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6"/>
      <c r="B37">
        <f>IF(F37="","",N37)</f>
        <v>55</v>
      </c>
      <c r="C37" s="885"/>
      <c r="D37" s="901"/>
      <c r="E37" s="703" t="s">
        <v>217</v>
      </c>
      <c r="F37" s="710">
        <v>90</v>
      </c>
      <c r="G37" s="710">
        <v>89</v>
      </c>
      <c r="H37" s="710">
        <v>69</v>
      </c>
      <c r="I37" s="710">
        <v>77</v>
      </c>
      <c r="J37" s="710">
        <v>108</v>
      </c>
      <c r="K37" s="584">
        <f>SUM(F37:J37)</f>
        <v>433</v>
      </c>
      <c r="L37" s="580">
        <f>MAX(F37:J37)</f>
        <v>108</v>
      </c>
      <c r="M37" s="650">
        <f>SUM(K37*1000)+L37+0.029</f>
        <v>433108.02899999998</v>
      </c>
      <c r="N37" s="585">
        <f>IF(F37="","",RANK(M37,M6:M70,0))</f>
        <v>55</v>
      </c>
      <c r="O37" s="584"/>
      <c r="P37" s="663"/>
      <c r="Q37" s="586"/>
      <c r="R37" s="882"/>
      <c r="S37" s="538"/>
      <c r="T37" s="528"/>
      <c r="U37" s="528"/>
      <c r="V37" s="528"/>
      <c r="W37" s="528"/>
      <c r="X37" s="528"/>
      <c r="Y37" s="528"/>
      <c r="Z37" s="528"/>
      <c r="AA37" s="528"/>
      <c r="AB37" s="539"/>
      <c r="AC37" s="532"/>
      <c r="AD37" s="863"/>
      <c r="AE37" s="506"/>
      <c r="AF37" s="506"/>
      <c r="AG37" s="94">
        <f t="shared" si="1"/>
        <v>32</v>
      </c>
      <c r="AH37" s="98" t="str">
        <f>IF(AF6&lt;32,"",VLOOKUP(32,B6:N70,4,FALSE))</f>
        <v>Sladovník Miloslav</v>
      </c>
      <c r="AI37" s="94">
        <f>IF(AF6&lt;32,"",VLOOKUP(32,B6:N70,10,FALSE))</f>
        <v>694</v>
      </c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6"/>
      <c r="B38">
        <f>IF(F38="","",N38)</f>
        <v>39</v>
      </c>
      <c r="C38" s="885"/>
      <c r="D38" s="901"/>
      <c r="E38" s="703" t="s">
        <v>64</v>
      </c>
      <c r="F38" s="710">
        <v>116</v>
      </c>
      <c r="G38" s="710">
        <v>119</v>
      </c>
      <c r="H38" s="710">
        <v>176</v>
      </c>
      <c r="I38" s="710">
        <v>115</v>
      </c>
      <c r="J38" s="710">
        <v>149</v>
      </c>
      <c r="K38" s="584">
        <f>SUM(F38:J38)</f>
        <v>675</v>
      </c>
      <c r="L38" s="580">
        <f>MAX(F38:J38)</f>
        <v>176</v>
      </c>
      <c r="M38" s="650">
        <f>SUM(K38*1000)+L38+0.028</f>
        <v>675176.02800000005</v>
      </c>
      <c r="N38" s="585">
        <f>IF(F38="","",RANK(M38,M6:M70,0))</f>
        <v>39</v>
      </c>
      <c r="O38" s="584"/>
      <c r="P38" s="663"/>
      <c r="Q38" s="586"/>
      <c r="R38" s="882"/>
      <c r="S38" s="538"/>
      <c r="T38" s="528"/>
      <c r="U38" s="528"/>
      <c r="V38" s="528"/>
      <c r="W38" s="528"/>
      <c r="X38" s="528"/>
      <c r="Y38" s="528"/>
      <c r="Z38" s="528"/>
      <c r="AA38" s="528"/>
      <c r="AB38" s="539"/>
      <c r="AC38" s="532"/>
      <c r="AD38" s="863"/>
      <c r="AE38" s="506"/>
      <c r="AF38" s="506"/>
      <c r="AG38" s="94">
        <f t="shared" si="1"/>
        <v>33</v>
      </c>
      <c r="AH38" s="98" t="str">
        <f>IF(AF6&lt;33,"",VLOOKUP(33,B6:N70,4,FALSE))</f>
        <v>Čermák Tomáš</v>
      </c>
      <c r="AI38" s="94">
        <f>IF(AF6&lt;33,"",VLOOKUP(33,B6:N70,10,FALSE))</f>
        <v>694</v>
      </c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6"/>
      <c r="B39">
        <f>IF(F39="","",N39)</f>
        <v>51</v>
      </c>
      <c r="C39" s="885"/>
      <c r="D39" s="901"/>
      <c r="E39" s="703" t="s">
        <v>100</v>
      </c>
      <c r="F39" s="710">
        <v>112</v>
      </c>
      <c r="G39" s="710">
        <v>127</v>
      </c>
      <c r="H39" s="710">
        <v>97</v>
      </c>
      <c r="I39" s="710">
        <v>138</v>
      </c>
      <c r="J39" s="710">
        <v>111</v>
      </c>
      <c r="K39" s="584">
        <f>SUM(F39:J39)</f>
        <v>585</v>
      </c>
      <c r="L39" s="580">
        <f>MAX(F39:J39)</f>
        <v>138</v>
      </c>
      <c r="M39" s="650">
        <f>SUM(K39*1000)+L39+0.027</f>
        <v>585138.027</v>
      </c>
      <c r="N39" s="585">
        <f>IF(F39="","",RANK(M39,M6:M70,0))</f>
        <v>51</v>
      </c>
      <c r="O39" s="584"/>
      <c r="P39" s="663"/>
      <c r="Q39" s="586"/>
      <c r="R39" s="882"/>
      <c r="S39" s="538"/>
      <c r="T39" s="528"/>
      <c r="U39" s="528"/>
      <c r="V39" s="528"/>
      <c r="W39" s="528"/>
      <c r="X39" s="528"/>
      <c r="Y39" s="528"/>
      <c r="Z39" s="528"/>
      <c r="AA39" s="528"/>
      <c r="AB39" s="539"/>
      <c r="AC39" s="532"/>
      <c r="AD39" s="863"/>
      <c r="AE39" s="506"/>
      <c r="AF39" s="506"/>
      <c r="AG39" s="94">
        <f t="shared" si="1"/>
        <v>34</v>
      </c>
      <c r="AH39" s="98" t="str">
        <f>IF(AF6&lt;34,"",VLOOKUP(34,B6:N70,4,FALSE))</f>
        <v>Skružná Pavla</v>
      </c>
      <c r="AI39" s="94">
        <f>IF(AF6&lt;34,"",VLOOKUP(34,B6:N70,10,FALSE))</f>
        <v>686</v>
      </c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6"/>
      <c r="B40">
        <f>IF(F40="","",N40)</f>
        <v>28</v>
      </c>
      <c r="C40" s="886"/>
      <c r="D40" s="902"/>
      <c r="E40" s="703" t="s">
        <v>101</v>
      </c>
      <c r="F40" s="711">
        <v>157</v>
      </c>
      <c r="G40" s="711">
        <v>119</v>
      </c>
      <c r="H40" s="711">
        <v>139</v>
      </c>
      <c r="I40" s="711">
        <v>129</v>
      </c>
      <c r="J40" s="711">
        <v>166</v>
      </c>
      <c r="K40" s="598">
        <f>SUM(F40:J40)</f>
        <v>710</v>
      </c>
      <c r="L40" s="588">
        <f>MAX(F40:J40)</f>
        <v>166</v>
      </c>
      <c r="M40" s="651">
        <f>SUM(K40*1000)+L40+0.026</f>
        <v>710166.02599999995</v>
      </c>
      <c r="N40" s="596">
        <f>IF(F40="","",RANK(M40,M6:M70,0))</f>
        <v>28</v>
      </c>
      <c r="O40" s="598"/>
      <c r="P40" s="664"/>
      <c r="Q40" s="599"/>
      <c r="R40" s="883"/>
      <c r="S40" s="540"/>
      <c r="T40" s="529"/>
      <c r="U40" s="529"/>
      <c r="V40" s="529"/>
      <c r="W40" s="529"/>
      <c r="X40" s="529"/>
      <c r="Y40" s="529"/>
      <c r="Z40" s="529"/>
      <c r="AA40" s="529"/>
      <c r="AB40" s="541"/>
      <c r="AC40" s="536"/>
      <c r="AD40" s="864"/>
      <c r="AE40" s="506"/>
      <c r="AF40" s="506"/>
      <c r="AG40" s="94">
        <f t="shared" si="1"/>
        <v>35</v>
      </c>
      <c r="AH40" s="98" t="str">
        <f>IF(AF6&lt;35,"",VLOOKUP(35,B6:N70,4,FALSE))</f>
        <v>Lokvenc Jiří</v>
      </c>
      <c r="AI40" s="94">
        <f>IF(AF6&lt;35,"",VLOOKUP(35,B6:N70,10,FALSE))</f>
        <v>684</v>
      </c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6"/>
      <c r="C41" s="524"/>
      <c r="D41" s="618"/>
      <c r="E41" s="574"/>
      <c r="F41" s="571">
        <f>SUM(F36:F40)</f>
        <v>552</v>
      </c>
      <c r="G41" s="571">
        <f>SUM(G36:G40)</f>
        <v>576</v>
      </c>
      <c r="H41" s="571">
        <f>SUM(H36:H40)</f>
        <v>614</v>
      </c>
      <c r="I41" s="571">
        <f>SUM(I36:I40)</f>
        <v>563</v>
      </c>
      <c r="J41" s="571">
        <f>SUM(J36:J40)</f>
        <v>628</v>
      </c>
      <c r="K41" s="619"/>
      <c r="L41" s="619"/>
      <c r="M41" s="648"/>
      <c r="N41" s="619"/>
      <c r="O41" s="619">
        <f>SUM(F41:J41)</f>
        <v>2933</v>
      </c>
      <c r="P41" s="661">
        <f>MAX(F41:J41)+0.005</f>
        <v>628.005</v>
      </c>
      <c r="Q41" s="620">
        <f>IF(F36="","",SUM(O41*1000)+P41)</f>
        <v>2933628.0049999999</v>
      </c>
      <c r="R41" s="621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893">
        <f>SUM(O35,O41)</f>
        <v>6824</v>
      </c>
      <c r="AD41" s="893"/>
      <c r="AE41" s="506"/>
      <c r="AF41" s="506"/>
      <c r="AG41" s="94">
        <f t="shared" si="1"/>
        <v>36</v>
      </c>
      <c r="AH41" s="98" t="str">
        <f>IF(AF6&lt;36,"",VLOOKUP(36,B6:N70,4,FALSE))</f>
        <v>Křikava Miroslav</v>
      </c>
      <c r="AI41" s="94">
        <f>IF(AF6&lt;36,"",VLOOKUP(36,B6:N70,10,FALSE))</f>
        <v>681</v>
      </c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6"/>
      <c r="B42">
        <f>IF(F42="","",N42)</f>
        <v>30</v>
      </c>
      <c r="C42" s="884">
        <v>7</v>
      </c>
      <c r="D42" s="897" t="s">
        <v>138</v>
      </c>
      <c r="E42" s="702" t="s">
        <v>67</v>
      </c>
      <c r="F42" s="709">
        <v>154</v>
      </c>
      <c r="G42" s="709">
        <v>125</v>
      </c>
      <c r="H42" s="709">
        <v>148</v>
      </c>
      <c r="I42" s="709">
        <v>138</v>
      </c>
      <c r="J42" s="709">
        <v>144</v>
      </c>
      <c r="K42" s="582">
        <f>SUM(F42:J42)</f>
        <v>709</v>
      </c>
      <c r="L42" s="582">
        <f>MAX(F42:J42)</f>
        <v>154</v>
      </c>
      <c r="M42" s="649">
        <f>SUM(K42*1000)+L42+0.025</f>
        <v>709154.02500000002</v>
      </c>
      <c r="N42" s="595">
        <f>IF(F42="","",RANK(M42,M6:M70,0))</f>
        <v>30</v>
      </c>
      <c r="O42" s="582"/>
      <c r="P42" s="662"/>
      <c r="Q42" s="597"/>
      <c r="R42" s="881">
        <f>IF(F42="","",RANK(Q47,Q11:Q71,0))</f>
        <v>5</v>
      </c>
      <c r="S42" s="537"/>
      <c r="T42" s="543">
        <f>IF(F42="","",RANK(AA42,AA6:AA64,0))</f>
        <v>5</v>
      </c>
      <c r="U42" s="543">
        <f>IF(R42="","",R42)</f>
        <v>5</v>
      </c>
      <c r="V42" s="544" t="str">
        <f>IF(D42="","",D42)</f>
        <v>KLÍČOV I.</v>
      </c>
      <c r="W42" s="544">
        <f>IF(O47="","",O47)</f>
        <v>3643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KLÍČOV</v>
      </c>
      <c r="Y42" s="544">
        <f>MAX(F47:J47,F53:J53)+0.02</f>
        <v>759.02</v>
      </c>
      <c r="Z42" s="544">
        <f>SUM(O47,O53)*1000</f>
        <v>6807000</v>
      </c>
      <c r="AA42" s="655">
        <f>SUM(Y42:Z42)</f>
        <v>6807759.0199999996</v>
      </c>
      <c r="AB42" s="545">
        <f>IF(AC53="","",AC53)</f>
        <v>6807</v>
      </c>
      <c r="AC42" s="554"/>
      <c r="AD42" s="862">
        <f>IF(T42="","",T42)</f>
        <v>5</v>
      </c>
      <c r="AE42" s="506"/>
      <c r="AF42" s="506"/>
      <c r="AG42" s="94">
        <f t="shared" si="1"/>
        <v>37</v>
      </c>
      <c r="AH42" s="98" t="str">
        <f>IF(AF6&lt;37,"",VLOOKUP(37,B6:N70,4,FALSE))</f>
        <v>Troller Pavel</v>
      </c>
      <c r="AI42" s="94">
        <f>IF(AF6&lt;37,"",VLOOKUP(37,B6:N70,10,FALSE))</f>
        <v>681</v>
      </c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6"/>
      <c r="B43">
        <f>IF(F43="","",N43)</f>
        <v>15</v>
      </c>
      <c r="C43" s="885"/>
      <c r="D43" s="898"/>
      <c r="E43" s="703" t="s">
        <v>65</v>
      </c>
      <c r="F43" s="710">
        <v>145</v>
      </c>
      <c r="G43" s="710">
        <v>163</v>
      </c>
      <c r="H43" s="710">
        <v>148</v>
      </c>
      <c r="I43" s="710">
        <v>160</v>
      </c>
      <c r="J43" s="710">
        <v>139</v>
      </c>
      <c r="K43" s="584">
        <f>SUM(F43:J43)</f>
        <v>755</v>
      </c>
      <c r="L43" s="580">
        <f>MAX(F43:J43)</f>
        <v>163</v>
      </c>
      <c r="M43" s="650">
        <f>SUM(K43*1000)+L43+0.024</f>
        <v>755163.02399999998</v>
      </c>
      <c r="N43" s="585">
        <f>IF(F43="","",RANK(M43,M6:M70,0))</f>
        <v>15</v>
      </c>
      <c r="O43" s="584"/>
      <c r="P43" s="663"/>
      <c r="Q43" s="586"/>
      <c r="R43" s="882"/>
      <c r="S43" s="538"/>
      <c r="T43" s="528"/>
      <c r="U43" s="528"/>
      <c r="V43" s="528"/>
      <c r="W43" s="528"/>
      <c r="X43" s="528"/>
      <c r="Y43" s="528"/>
      <c r="Z43" s="528"/>
      <c r="AA43" s="528"/>
      <c r="AB43" s="539"/>
      <c r="AC43" s="555"/>
      <c r="AD43" s="863"/>
      <c r="AE43" s="506"/>
      <c r="AF43" s="506"/>
      <c r="AG43" s="94">
        <f t="shared" si="1"/>
        <v>38</v>
      </c>
      <c r="AH43" s="98" t="str">
        <f>IF(AF6&lt;38,"",VLOOKUP(38,B6:N70,4,FALSE))</f>
        <v>Křápek Roman</v>
      </c>
      <c r="AI43" s="94">
        <f>IF(AF6&lt;38,"",VLOOKUP(38,B6:N70,10,FALSE))</f>
        <v>679</v>
      </c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6"/>
      <c r="B44">
        <f>IF(F44="","",N44)</f>
        <v>10</v>
      </c>
      <c r="C44" s="885"/>
      <c r="D44" s="898"/>
      <c r="E44" s="703" t="s">
        <v>218</v>
      </c>
      <c r="F44" s="710">
        <v>145</v>
      </c>
      <c r="G44" s="710">
        <v>129</v>
      </c>
      <c r="H44" s="710">
        <v>167</v>
      </c>
      <c r="I44" s="710">
        <v>165</v>
      </c>
      <c r="J44" s="710">
        <v>170</v>
      </c>
      <c r="K44" s="584">
        <f>SUM(F44:J44)</f>
        <v>776</v>
      </c>
      <c r="L44" s="580">
        <f>MAX(F44:J44)</f>
        <v>170</v>
      </c>
      <c r="M44" s="650">
        <f>SUM(K44*1000)+L44+0.023</f>
        <v>776170.02300000004</v>
      </c>
      <c r="N44" s="585">
        <f>IF(F44="","",RANK(M44,M6:M70,0))</f>
        <v>10</v>
      </c>
      <c r="O44" s="584"/>
      <c r="P44" s="663"/>
      <c r="Q44" s="586"/>
      <c r="R44" s="882"/>
      <c r="S44" s="538"/>
      <c r="T44" s="528"/>
      <c r="U44" s="528"/>
      <c r="V44" s="528"/>
      <c r="W44" s="528"/>
      <c r="X44" s="528"/>
      <c r="Y44" s="528"/>
      <c r="Z44" s="528"/>
      <c r="AA44" s="528"/>
      <c r="AB44" s="539"/>
      <c r="AC44" s="555"/>
      <c r="AD44" s="863"/>
      <c r="AE44" s="506"/>
      <c r="AF44" s="506"/>
      <c r="AG44" s="94">
        <f t="shared" si="1"/>
        <v>39</v>
      </c>
      <c r="AH44" s="98" t="str">
        <f>IF(AF6&lt;39,"",VLOOKUP(39,B6:N70,4,FALSE))</f>
        <v>Veselý Vlastimil</v>
      </c>
      <c r="AI44" s="94">
        <f>IF(AF6&lt;39,"",VLOOKUP(39,B6:N70,10,FALSE))</f>
        <v>675</v>
      </c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6"/>
      <c r="B45">
        <f>IF(F45="","",N45)</f>
        <v>22</v>
      </c>
      <c r="C45" s="885"/>
      <c r="D45" s="898"/>
      <c r="E45" s="703" t="s">
        <v>66</v>
      </c>
      <c r="F45" s="710">
        <v>133</v>
      </c>
      <c r="G45" s="710">
        <v>159</v>
      </c>
      <c r="H45" s="710">
        <v>155</v>
      </c>
      <c r="I45" s="710">
        <v>149</v>
      </c>
      <c r="J45" s="710">
        <v>126</v>
      </c>
      <c r="K45" s="584">
        <f>SUM(F45:J45)</f>
        <v>722</v>
      </c>
      <c r="L45" s="580">
        <f>MAX(F45:J45)</f>
        <v>159</v>
      </c>
      <c r="M45" s="650">
        <f>SUM(K45*1000)+L45+0.022</f>
        <v>722159.022</v>
      </c>
      <c r="N45" s="585">
        <f>IF(F45="","",RANK(M45,M6:M70,0))</f>
        <v>22</v>
      </c>
      <c r="O45" s="584"/>
      <c r="P45" s="663"/>
      <c r="Q45" s="586"/>
      <c r="R45" s="882"/>
      <c r="S45" s="538"/>
      <c r="T45" s="528"/>
      <c r="U45" s="528"/>
      <c r="V45" s="528"/>
      <c r="W45" s="528"/>
      <c r="X45" s="528"/>
      <c r="Y45" s="528"/>
      <c r="Z45" s="528"/>
      <c r="AA45" s="528"/>
      <c r="AB45" s="539"/>
      <c r="AC45" s="555"/>
      <c r="AD45" s="863"/>
      <c r="AE45" s="506"/>
      <c r="AF45" s="506"/>
      <c r="AG45" s="94">
        <f t="shared" si="1"/>
        <v>40</v>
      </c>
      <c r="AH45" s="98" t="str">
        <f>IF(AF6&lt;40,"",VLOOKUP(40,B6:N70,4,FALSE))</f>
        <v>Červenka Ivan</v>
      </c>
      <c r="AI45" s="94">
        <f>IF(AF6&lt;40,"",VLOOKUP(40,B6:N70,10,FALSE))</f>
        <v>668</v>
      </c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6"/>
      <c r="B46">
        <f>IF(F46="","",N46)</f>
        <v>37</v>
      </c>
      <c r="C46" s="886"/>
      <c r="D46" s="899"/>
      <c r="E46" s="703" t="s">
        <v>27</v>
      </c>
      <c r="F46" s="711">
        <v>132</v>
      </c>
      <c r="G46" s="711">
        <v>128</v>
      </c>
      <c r="H46" s="711">
        <v>141</v>
      </c>
      <c r="I46" s="711">
        <v>132</v>
      </c>
      <c r="J46" s="711">
        <v>148</v>
      </c>
      <c r="K46" s="598">
        <f>SUM(F46:J46)</f>
        <v>681</v>
      </c>
      <c r="L46" s="588">
        <f>MAX(F46:J46)</f>
        <v>148</v>
      </c>
      <c r="M46" s="651">
        <f>SUM(K46*1000)+L46+0.021</f>
        <v>681148.02099999995</v>
      </c>
      <c r="N46" s="596">
        <f>IF(F46="","",RANK(M46,M6:M70,0))</f>
        <v>37</v>
      </c>
      <c r="O46" s="598"/>
      <c r="P46" s="664"/>
      <c r="Q46" s="599"/>
      <c r="R46" s="883"/>
      <c r="S46" s="540"/>
      <c r="T46" s="529"/>
      <c r="U46" s="529"/>
      <c r="V46" s="529"/>
      <c r="W46" s="529"/>
      <c r="X46" s="529"/>
      <c r="Y46" s="529"/>
      <c r="Z46" s="529"/>
      <c r="AA46" s="529"/>
      <c r="AB46" s="541"/>
      <c r="AC46" s="555"/>
      <c r="AD46" s="863"/>
      <c r="AE46" s="506"/>
      <c r="AF46" s="506"/>
      <c r="AG46" s="94">
        <f t="shared" si="1"/>
        <v>41</v>
      </c>
      <c r="AH46" s="98" t="str">
        <f>IF(AF6&lt;41,"",VLOOKUP(41,B6:N70,4,FALSE))</f>
        <v>Mysliveček Jaroslav</v>
      </c>
      <c r="AI46" s="94">
        <f>IF(AF6&lt;41,"",VLOOKUP(41,B6:N70,10,FALSE))</f>
        <v>667</v>
      </c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6"/>
      <c r="C47" s="525"/>
      <c r="D47" s="615"/>
      <c r="E47" s="497"/>
      <c r="F47" s="570">
        <f>SUM(F42:F46)</f>
        <v>709</v>
      </c>
      <c r="G47" s="570">
        <f>SUM(G42:G46)</f>
        <v>704</v>
      </c>
      <c r="H47" s="570">
        <f>SUM(H42:H46)</f>
        <v>759</v>
      </c>
      <c r="I47" s="570">
        <f>SUM(I42:I46)</f>
        <v>744</v>
      </c>
      <c r="J47" s="570">
        <f>SUM(J42:J46)</f>
        <v>727</v>
      </c>
      <c r="K47" s="616"/>
      <c r="L47" s="616"/>
      <c r="M47" s="653"/>
      <c r="N47" s="616"/>
      <c r="O47" s="616">
        <f>SUM(F47:J47)</f>
        <v>3643</v>
      </c>
      <c r="P47" s="665">
        <f>MAX(F47:J47)+0.004</f>
        <v>759.00400000000002</v>
      </c>
      <c r="Q47" s="617">
        <f>IF(F42="","",SUM(O47*1000)+P47)</f>
        <v>3643759.0040000002</v>
      </c>
      <c r="R47" s="625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2"/>
      <c r="AD47" s="863"/>
      <c r="AE47" s="506"/>
      <c r="AF47" s="506"/>
      <c r="AG47" s="94">
        <f t="shared" si="1"/>
        <v>42</v>
      </c>
      <c r="AH47" s="98" t="str">
        <f>IF(AF6&lt;42,"",VLOOKUP(42,B6:N70,4,FALSE))</f>
        <v>Alba Vladimír</v>
      </c>
      <c r="AI47" s="94">
        <f>IF(AF6&lt;42,"",VLOOKUP(42,B6:N70,10,FALSE))</f>
        <v>654</v>
      </c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6"/>
      <c r="B48">
        <f>IF(F48="","",N48)</f>
        <v>52</v>
      </c>
      <c r="C48" s="884">
        <v>8</v>
      </c>
      <c r="D48" s="897" t="s">
        <v>139</v>
      </c>
      <c r="E48" s="704" t="s">
        <v>29</v>
      </c>
      <c r="F48" s="709">
        <v>91</v>
      </c>
      <c r="G48" s="709">
        <v>145</v>
      </c>
      <c r="H48" s="709">
        <v>110</v>
      </c>
      <c r="I48" s="709">
        <v>130</v>
      </c>
      <c r="J48" s="709">
        <v>99</v>
      </c>
      <c r="K48" s="582">
        <f>SUM(F48:J48)</f>
        <v>575</v>
      </c>
      <c r="L48" s="582">
        <f>MAX(F48:J48)</f>
        <v>145</v>
      </c>
      <c r="M48" s="649">
        <f>SUM(K48*1000)+L48+0.02</f>
        <v>575145.02</v>
      </c>
      <c r="N48" s="595">
        <f>IF(F48="","",RANK(M48,M6:M70,0))</f>
        <v>52</v>
      </c>
      <c r="O48" s="582"/>
      <c r="P48" s="662"/>
      <c r="Q48" s="597"/>
      <c r="R48" s="890">
        <f>IF(F48="","",RANK(Q53,Q11:Q71,0))</f>
        <v>10</v>
      </c>
      <c r="S48" s="537"/>
      <c r="T48" s="527"/>
      <c r="U48" s="543">
        <f>IF(R48="","",R48)</f>
        <v>10</v>
      </c>
      <c r="V48" s="544" t="str">
        <f>IF(D48="","",D48)</f>
        <v>KLÍČOV II.</v>
      </c>
      <c r="W48" s="547">
        <f>IF(O53="","",O53)</f>
        <v>3164</v>
      </c>
      <c r="X48" s="527"/>
      <c r="Y48" s="527"/>
      <c r="Z48" s="527"/>
      <c r="AA48" s="527"/>
      <c r="AB48" s="548"/>
      <c r="AC48" s="555"/>
      <c r="AD48" s="863"/>
      <c r="AE48" s="506"/>
      <c r="AF48" s="506"/>
      <c r="AG48" s="94">
        <f t="shared" si="1"/>
        <v>43</v>
      </c>
      <c r="AH48" s="98" t="str">
        <f>IF(AF6&lt;43,"",VLOOKUP(43,B6:N70,4,FALSE))</f>
        <v>Růžička Václav</v>
      </c>
      <c r="AI48" s="94">
        <f>IF(AF6&lt;43,"",VLOOKUP(43,B6:N70,10,FALSE))</f>
        <v>653</v>
      </c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6"/>
      <c r="B49">
        <f>IF(F49="","",N49)</f>
        <v>50</v>
      </c>
      <c r="C49" s="885"/>
      <c r="D49" s="898"/>
      <c r="E49" s="703" t="s">
        <v>219</v>
      </c>
      <c r="F49" s="710">
        <v>139</v>
      </c>
      <c r="G49" s="710">
        <v>94</v>
      </c>
      <c r="H49" s="710">
        <v>113</v>
      </c>
      <c r="I49" s="710">
        <v>97</v>
      </c>
      <c r="J49" s="710">
        <v>144</v>
      </c>
      <c r="K49" s="584">
        <f>SUM(F49:J49)</f>
        <v>587</v>
      </c>
      <c r="L49" s="580">
        <f>MAX(F49:J49)</f>
        <v>144</v>
      </c>
      <c r="M49" s="650">
        <f>SUM(K49*1000)+L49+0.019</f>
        <v>587144.01899999997</v>
      </c>
      <c r="N49" s="585">
        <f>IF(F49="","",RANK(M49,M6:M70,0))</f>
        <v>50</v>
      </c>
      <c r="O49" s="584"/>
      <c r="P49" s="663"/>
      <c r="Q49" s="586"/>
      <c r="R49" s="891"/>
      <c r="S49" s="538"/>
      <c r="T49" s="528"/>
      <c r="U49" s="528"/>
      <c r="V49" s="528"/>
      <c r="W49" s="528"/>
      <c r="X49" s="528"/>
      <c r="Y49" s="528"/>
      <c r="Z49" s="528"/>
      <c r="AA49" s="528"/>
      <c r="AB49" s="539"/>
      <c r="AC49" s="555"/>
      <c r="AD49" s="863"/>
      <c r="AE49" s="506"/>
      <c r="AF49" s="506"/>
      <c r="AG49" s="94">
        <f t="shared" si="1"/>
        <v>44</v>
      </c>
      <c r="AH49" s="98" t="str">
        <f>IF(AF6&lt;44,"",VLOOKUP(44,B6:N70,4,FALSE))</f>
        <v>Kutina Pavel</v>
      </c>
      <c r="AI49" s="94">
        <f>IF(AF6&lt;44,"",VLOOKUP(44,B6:N70,10,FALSE))</f>
        <v>651</v>
      </c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6"/>
      <c r="B50">
        <f>IF(F50="","",N50)</f>
        <v>54</v>
      </c>
      <c r="C50" s="885"/>
      <c r="D50" s="898"/>
      <c r="E50" s="703" t="s">
        <v>170</v>
      </c>
      <c r="F50" s="710">
        <v>93</v>
      </c>
      <c r="G50" s="710">
        <v>99</v>
      </c>
      <c r="H50" s="710">
        <v>90</v>
      </c>
      <c r="I50" s="710">
        <v>87</v>
      </c>
      <c r="J50" s="710">
        <v>123</v>
      </c>
      <c r="K50" s="584">
        <f>SUM(F50:J50)</f>
        <v>492</v>
      </c>
      <c r="L50" s="580">
        <f>MAX(F50:J50)</f>
        <v>123</v>
      </c>
      <c r="M50" s="650">
        <f>SUM(K50*1000)+L50+0.018</f>
        <v>492123.01799999998</v>
      </c>
      <c r="N50" s="585">
        <f>IF(F50="","",RANK(M50,M6:M70,0))</f>
        <v>54</v>
      </c>
      <c r="O50" s="584"/>
      <c r="P50" s="663"/>
      <c r="Q50" s="586"/>
      <c r="R50" s="891"/>
      <c r="S50" s="538"/>
      <c r="T50" s="528"/>
      <c r="U50" s="528"/>
      <c r="V50" s="528"/>
      <c r="W50" s="528"/>
      <c r="X50" s="528"/>
      <c r="Y50" s="528"/>
      <c r="Z50" s="528"/>
      <c r="AA50" s="528"/>
      <c r="AB50" s="539"/>
      <c r="AC50" s="555"/>
      <c r="AD50" s="863"/>
      <c r="AE50" s="506"/>
      <c r="AF50" s="506"/>
      <c r="AG50" s="94">
        <f t="shared" si="1"/>
        <v>45</v>
      </c>
      <c r="AH50" s="98" t="str">
        <f>IF(AF6&lt;45,"",VLOOKUP(45,B6:N70,4,FALSE))</f>
        <v>Šafář Ladislav</v>
      </c>
      <c r="AI50" s="94">
        <f>IF(AF6&lt;45,"",VLOOKUP(45,B6:N70,10,FALSE))</f>
        <v>622</v>
      </c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6"/>
      <c r="B51">
        <f>IF(F51="","",N51)</f>
        <v>6</v>
      </c>
      <c r="C51" s="885"/>
      <c r="D51" s="898"/>
      <c r="E51" s="703" t="s">
        <v>112</v>
      </c>
      <c r="F51" s="710">
        <v>128</v>
      </c>
      <c r="G51" s="710">
        <v>171</v>
      </c>
      <c r="H51" s="710">
        <v>134</v>
      </c>
      <c r="I51" s="710">
        <v>176</v>
      </c>
      <c r="J51" s="710">
        <v>217</v>
      </c>
      <c r="K51" s="584">
        <f>SUM(F51:J51)</f>
        <v>826</v>
      </c>
      <c r="L51" s="580">
        <f>MAX(F51:J51)</f>
        <v>217</v>
      </c>
      <c r="M51" s="650">
        <f>SUM(K51*1000)+L51+0.017</f>
        <v>826217.01699999999</v>
      </c>
      <c r="N51" s="585">
        <f>IF(F51="","",RANK(M51,M6:M70,0))</f>
        <v>6</v>
      </c>
      <c r="O51" s="584"/>
      <c r="P51" s="663"/>
      <c r="Q51" s="586"/>
      <c r="R51" s="891"/>
      <c r="S51" s="538"/>
      <c r="T51" s="528"/>
      <c r="U51" s="528"/>
      <c r="V51" s="528"/>
      <c r="W51" s="528"/>
      <c r="X51" s="528"/>
      <c r="Y51" s="528"/>
      <c r="Z51" s="528"/>
      <c r="AA51" s="528"/>
      <c r="AB51" s="539"/>
      <c r="AC51" s="555"/>
      <c r="AD51" s="863"/>
      <c r="AE51" s="506"/>
      <c r="AF51" s="506"/>
      <c r="AG51" s="94">
        <f t="shared" si="1"/>
        <v>46</v>
      </c>
      <c r="AH51" s="98" t="str">
        <f>IF(AF6&lt;46,"",VLOOKUP(46,B6:N70,4,FALSE))</f>
        <v>Mottl Pavel</v>
      </c>
      <c r="AI51" s="94">
        <f>IF(AF6&lt;46,"",VLOOKUP(46,B6:N70,10,FALSE))</f>
        <v>621</v>
      </c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6"/>
      <c r="B52">
        <f>IF(F52="","",N52)</f>
        <v>35</v>
      </c>
      <c r="C52" s="886"/>
      <c r="D52" s="899"/>
      <c r="E52" s="703" t="s">
        <v>90</v>
      </c>
      <c r="F52" s="711">
        <v>122</v>
      </c>
      <c r="G52" s="711">
        <v>146</v>
      </c>
      <c r="H52" s="711">
        <v>148</v>
      </c>
      <c r="I52" s="711">
        <v>141</v>
      </c>
      <c r="J52" s="711">
        <v>127</v>
      </c>
      <c r="K52" s="598">
        <f>SUM(F52:J52)</f>
        <v>684</v>
      </c>
      <c r="L52" s="588">
        <f>MAX(F52:J52)</f>
        <v>148</v>
      </c>
      <c r="M52" s="651">
        <f>SUM(K52*1000)+L52+0.016</f>
        <v>684148.01599999995</v>
      </c>
      <c r="N52" s="596">
        <f>IF(F52="","",RANK(M52,M6:M70,0))</f>
        <v>35</v>
      </c>
      <c r="O52" s="598"/>
      <c r="P52" s="664"/>
      <c r="Q52" s="599"/>
      <c r="R52" s="892"/>
      <c r="S52" s="540"/>
      <c r="T52" s="529"/>
      <c r="U52" s="529"/>
      <c r="V52" s="529"/>
      <c r="W52" s="529"/>
      <c r="X52" s="529"/>
      <c r="Y52" s="529"/>
      <c r="Z52" s="529"/>
      <c r="AA52" s="529"/>
      <c r="AB52" s="541"/>
      <c r="AC52" s="542"/>
      <c r="AD52" s="864"/>
      <c r="AE52" s="506"/>
      <c r="AF52" s="506"/>
      <c r="AG52" s="94">
        <f t="shared" si="1"/>
        <v>47</v>
      </c>
      <c r="AH52" s="98" t="str">
        <f>IF(AF6&lt;47,"",VLOOKUP(47,B6:N70,4,FALSE))</f>
        <v>Lazurová Jiřina</v>
      </c>
      <c r="AI52" s="94">
        <f>IF(AF6&lt;47,"",VLOOKUP(47,B6:N70,10,FALSE))</f>
        <v>606</v>
      </c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6"/>
      <c r="C53" s="524"/>
      <c r="D53" s="618"/>
      <c r="E53" s="574"/>
      <c r="F53" s="571">
        <f>SUM(F48:F52)</f>
        <v>573</v>
      </c>
      <c r="G53" s="571">
        <f>SUM(G48:G52)</f>
        <v>655</v>
      </c>
      <c r="H53" s="571">
        <f>SUM(H48:H52)</f>
        <v>595</v>
      </c>
      <c r="I53" s="571">
        <f>SUM(I48:I52)</f>
        <v>631</v>
      </c>
      <c r="J53" s="571">
        <f>SUM(J48:J52)</f>
        <v>710</v>
      </c>
      <c r="K53" s="619"/>
      <c r="L53" s="619"/>
      <c r="M53" s="648"/>
      <c r="N53" s="619"/>
      <c r="O53" s="619">
        <f>SUM(F53:J53)</f>
        <v>3164</v>
      </c>
      <c r="P53" s="661">
        <f>MAX(F53:J53)+0.003</f>
        <v>710.00300000000004</v>
      </c>
      <c r="Q53" s="620">
        <f>IF(F48="","",SUM(O53*1000)+P53)</f>
        <v>3164710.003</v>
      </c>
      <c r="R53" s="621"/>
      <c r="S53" s="556"/>
      <c r="T53" s="556"/>
      <c r="U53" s="556"/>
      <c r="V53" s="556"/>
      <c r="W53" s="556"/>
      <c r="X53" s="556"/>
      <c r="Y53" s="556"/>
      <c r="Z53" s="556"/>
      <c r="AA53" s="556"/>
      <c r="AB53" s="556"/>
      <c r="AC53" s="893">
        <f>SUM(O47,O53)</f>
        <v>6807</v>
      </c>
      <c r="AD53" s="893"/>
      <c r="AE53" s="506"/>
      <c r="AF53" s="506"/>
      <c r="AG53" s="94">
        <f t="shared" si="1"/>
        <v>48</v>
      </c>
      <c r="AH53" s="98" t="str">
        <f>IF(AF6&lt;48,"",VLOOKUP(48,B6:N70,4,FALSE))</f>
        <v>Jelínek Jan</v>
      </c>
      <c r="AI53" s="94">
        <f>IF(AF6&lt;48,"",VLOOKUP(48,B6:N70,10,FALSE))</f>
        <v>606</v>
      </c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6"/>
      <c r="B54">
        <f>IF(F54="","",N54)</f>
        <v>8</v>
      </c>
      <c r="C54" s="884">
        <v>9</v>
      </c>
      <c r="D54" s="903" t="s">
        <v>124</v>
      </c>
      <c r="E54" s="704" t="s">
        <v>156</v>
      </c>
      <c r="F54" s="709">
        <v>187</v>
      </c>
      <c r="G54" s="709">
        <v>144</v>
      </c>
      <c r="H54" s="709">
        <v>125</v>
      </c>
      <c r="I54" s="709">
        <v>175</v>
      </c>
      <c r="J54" s="709">
        <v>168</v>
      </c>
      <c r="K54" s="582">
        <f>SUM(F54:J54)</f>
        <v>799</v>
      </c>
      <c r="L54" s="582">
        <f>MAX(F54:J54)</f>
        <v>187</v>
      </c>
      <c r="M54" s="649">
        <f>SUM(K54*1000)+L54+0.015</f>
        <v>799187.01500000001</v>
      </c>
      <c r="N54" s="595">
        <f>IF(F54="","",RANK(M54,M6:M70,0))</f>
        <v>8</v>
      </c>
      <c r="O54" s="582"/>
      <c r="P54" s="662"/>
      <c r="Q54" s="597"/>
      <c r="R54" s="881">
        <f>IF(F54="","",RANK(Q59,Q11:Q71,0))</f>
        <v>2</v>
      </c>
      <c r="S54" s="537"/>
      <c r="T54" s="546">
        <f>IF(F54="","",RANK(AA54,AA6:AA64,0))</f>
        <v>1</v>
      </c>
      <c r="U54" s="543">
        <f>IF(R54="","",R54)</f>
        <v>2</v>
      </c>
      <c r="V54" s="544" t="str">
        <f>IF(D54="","",D54)</f>
        <v>ŘEPY I.</v>
      </c>
      <c r="W54" s="544">
        <f>IF(O59="","",O59)</f>
        <v>3853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ŘEPY</v>
      </c>
      <c r="Y54" s="544">
        <f>MAX(F59:J59,F65:J65)+0.01</f>
        <v>843.01</v>
      </c>
      <c r="Z54" s="544">
        <f>SUM(O59,O65)*1000</f>
        <v>7429000</v>
      </c>
      <c r="AA54" s="655">
        <f>SUM(Y54:Z54)</f>
        <v>7429843.0099999998</v>
      </c>
      <c r="AB54" s="545">
        <f>IF(AC65="","",AC65)</f>
        <v>7429</v>
      </c>
      <c r="AC54" s="554"/>
      <c r="AD54" s="862">
        <f>IF(T54="","",T54)</f>
        <v>1</v>
      </c>
      <c r="AE54" s="506"/>
      <c r="AF54" s="506"/>
      <c r="AG54" s="94">
        <f t="shared" si="1"/>
        <v>49</v>
      </c>
      <c r="AH54" s="98" t="str">
        <f>IF(AF6&lt;49,"",VLOOKUP(49,B6:N70,4,FALSE))</f>
        <v>Sehnal Ivan</v>
      </c>
      <c r="AI54" s="94">
        <f>IF(AF6&lt;49,"",VLOOKUP(49,B6:N70,10,FALSE))</f>
        <v>603</v>
      </c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6"/>
      <c r="B55">
        <f>IF(F55="","",N55)</f>
        <v>12</v>
      </c>
      <c r="C55" s="885"/>
      <c r="D55" s="904"/>
      <c r="E55" s="703" t="s">
        <v>205</v>
      </c>
      <c r="F55" s="710">
        <v>129</v>
      </c>
      <c r="G55" s="710">
        <v>149</v>
      </c>
      <c r="H55" s="710">
        <v>194</v>
      </c>
      <c r="I55" s="710">
        <v>150</v>
      </c>
      <c r="J55" s="710">
        <v>139</v>
      </c>
      <c r="K55" s="584">
        <f>SUM(F55:J55)</f>
        <v>761</v>
      </c>
      <c r="L55" s="580">
        <f>MAX(F55:J55)</f>
        <v>194</v>
      </c>
      <c r="M55" s="650">
        <f>SUM(K55*1000)+L55+0.014</f>
        <v>761194.01399999997</v>
      </c>
      <c r="N55" s="585">
        <f>IF(F55="","",RANK(M55,M6:M70,0))</f>
        <v>12</v>
      </c>
      <c r="O55" s="584"/>
      <c r="P55" s="663"/>
      <c r="Q55" s="586"/>
      <c r="R55" s="882"/>
      <c r="S55" s="538"/>
      <c r="T55" s="528"/>
      <c r="U55" s="528"/>
      <c r="V55" s="528"/>
      <c r="W55" s="528"/>
      <c r="X55" s="528"/>
      <c r="Y55" s="528"/>
      <c r="Z55" s="528"/>
      <c r="AA55" s="528"/>
      <c r="AB55" s="539"/>
      <c r="AC55" s="555"/>
      <c r="AD55" s="863"/>
      <c r="AE55" s="506"/>
      <c r="AF55" s="506"/>
      <c r="AG55" s="94">
        <f t="shared" si="1"/>
        <v>50</v>
      </c>
      <c r="AH55" s="98" t="str">
        <f>IF(AF6&lt;50,"",VLOOKUP(50,B6:N70,4,FALSE))</f>
        <v>Neshyba Jaroslav</v>
      </c>
      <c r="AI55" s="94">
        <f>IF(AF6&lt;50,"",VLOOKUP(50,B6:N70,10,FALSE))</f>
        <v>587</v>
      </c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6"/>
      <c r="B56">
        <f>IF(F56="","",N56)</f>
        <v>11</v>
      </c>
      <c r="C56" s="885"/>
      <c r="D56" s="904"/>
      <c r="E56" s="703" t="s">
        <v>144</v>
      </c>
      <c r="F56" s="710">
        <v>202</v>
      </c>
      <c r="G56" s="710">
        <v>170</v>
      </c>
      <c r="H56" s="710">
        <v>168</v>
      </c>
      <c r="I56" s="710">
        <v>116</v>
      </c>
      <c r="J56" s="710">
        <v>116</v>
      </c>
      <c r="K56" s="584">
        <f>SUM(F56:J56)</f>
        <v>772</v>
      </c>
      <c r="L56" s="580">
        <f>MAX(F56:J56)</f>
        <v>202</v>
      </c>
      <c r="M56" s="650">
        <f>SUM(K56*1000)+L56+0.013</f>
        <v>772202.01300000004</v>
      </c>
      <c r="N56" s="585">
        <f>IF(F56="","",RANK(M56,M6:M70,0))</f>
        <v>11</v>
      </c>
      <c r="O56" s="584"/>
      <c r="P56" s="663"/>
      <c r="Q56" s="586"/>
      <c r="R56" s="882"/>
      <c r="S56" s="538"/>
      <c r="T56" s="528"/>
      <c r="U56" s="528"/>
      <c r="V56" s="528"/>
      <c r="W56" s="528"/>
      <c r="X56" s="528"/>
      <c r="Y56" s="528"/>
      <c r="Z56" s="528"/>
      <c r="AA56" s="528"/>
      <c r="AB56" s="539"/>
      <c r="AC56" s="555"/>
      <c r="AD56" s="863"/>
      <c r="AE56" s="506"/>
      <c r="AF56" s="506"/>
      <c r="AG56" s="94">
        <f t="shared" si="1"/>
        <v>51</v>
      </c>
      <c r="AH56" s="98" t="str">
        <f>IF(AF6&lt;51,"",VLOOKUP(51,B6:N70,4,FALSE))</f>
        <v>Fay Vlastimil</v>
      </c>
      <c r="AI56" s="94">
        <f>IF(AF6&lt;51,"",VLOOKUP(51,B6:N70,10,FALSE))</f>
        <v>585</v>
      </c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6"/>
      <c r="B57">
        <f>IF(F57="","",N57)</f>
        <v>32</v>
      </c>
      <c r="C57" s="885"/>
      <c r="D57" s="904"/>
      <c r="E57" s="703" t="s">
        <v>206</v>
      </c>
      <c r="F57" s="710">
        <v>130</v>
      </c>
      <c r="G57" s="710">
        <v>146</v>
      </c>
      <c r="H57" s="710">
        <v>176</v>
      </c>
      <c r="I57" s="710">
        <v>131</v>
      </c>
      <c r="J57" s="710">
        <v>111</v>
      </c>
      <c r="K57" s="584">
        <f>SUM(F57:J57)</f>
        <v>694</v>
      </c>
      <c r="L57" s="580">
        <f>MAX(F57:J57)</f>
        <v>176</v>
      </c>
      <c r="M57" s="650">
        <f>SUM(K57*1000)+L57+0.012</f>
        <v>694176.01199999999</v>
      </c>
      <c r="N57" s="585">
        <f>IF(F57="","",RANK(M57,M6:M70,0))</f>
        <v>32</v>
      </c>
      <c r="O57" s="584"/>
      <c r="P57" s="663"/>
      <c r="Q57" s="586"/>
      <c r="R57" s="882"/>
      <c r="S57" s="538"/>
      <c r="T57" s="528"/>
      <c r="U57" s="528"/>
      <c r="V57" s="528"/>
      <c r="W57" s="528"/>
      <c r="X57" s="528"/>
      <c r="Y57" s="528"/>
      <c r="Z57" s="528"/>
      <c r="AA57" s="528"/>
      <c r="AB57" s="539"/>
      <c r="AC57" s="555"/>
      <c r="AD57" s="863"/>
      <c r="AE57" s="506"/>
      <c r="AF57" s="506"/>
      <c r="AG57" s="94">
        <f t="shared" si="1"/>
        <v>52</v>
      </c>
      <c r="AH57" s="98" t="str">
        <f>IF(AF6&lt;52,"",VLOOKUP(52,B6:N70,4,FALSE))</f>
        <v>Novotná Petra</v>
      </c>
      <c r="AI57" s="94">
        <f>IF(AF6&lt;52,"",VLOOKUP(52,B6:N70,10,FALSE))</f>
        <v>575</v>
      </c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6"/>
      <c r="B58">
        <f>IF(F58="","",N58)</f>
        <v>5</v>
      </c>
      <c r="C58" s="886"/>
      <c r="D58" s="905"/>
      <c r="E58" s="703" t="s">
        <v>207</v>
      </c>
      <c r="F58" s="711">
        <v>163</v>
      </c>
      <c r="G58" s="711">
        <v>173</v>
      </c>
      <c r="H58" s="711">
        <v>180</v>
      </c>
      <c r="I58" s="711">
        <v>154</v>
      </c>
      <c r="J58" s="711">
        <v>157</v>
      </c>
      <c r="K58" s="598">
        <f>SUM(F58:J58)</f>
        <v>827</v>
      </c>
      <c r="L58" s="588">
        <f>MAX(F58:J58)</f>
        <v>180</v>
      </c>
      <c r="M58" s="651">
        <f>SUM(K58*1000)+L58+0.011</f>
        <v>827180.01100000006</v>
      </c>
      <c r="N58" s="596">
        <f>IF(F58="","",RANK(M58,M6:M70,0))</f>
        <v>5</v>
      </c>
      <c r="O58" s="598"/>
      <c r="P58" s="664"/>
      <c r="Q58" s="599"/>
      <c r="R58" s="883"/>
      <c r="S58" s="540"/>
      <c r="T58" s="529"/>
      <c r="U58" s="529"/>
      <c r="V58" s="529"/>
      <c r="W58" s="529"/>
      <c r="X58" s="529"/>
      <c r="Y58" s="529"/>
      <c r="Z58" s="529"/>
      <c r="AA58" s="529"/>
      <c r="AB58" s="541"/>
      <c r="AC58" s="555"/>
      <c r="AD58" s="863"/>
      <c r="AE58" s="506"/>
      <c r="AF58" s="506"/>
      <c r="AG58" s="94">
        <f t="shared" si="1"/>
        <v>53</v>
      </c>
      <c r="AH58" s="98" t="str">
        <f>IF(AF6&lt;53,"",VLOOKUP(53,B6:N70,4,FALSE))</f>
        <v>Aunický Ftantišek</v>
      </c>
      <c r="AI58" s="94">
        <f>IF(AF6&lt;53,"",VLOOKUP(53,B6:N70,10,FALSE))</f>
        <v>530</v>
      </c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6"/>
      <c r="C59" s="525"/>
      <c r="D59" s="615"/>
      <c r="E59" s="497"/>
      <c r="F59" s="570">
        <f>SUM(F54:F58)</f>
        <v>811</v>
      </c>
      <c r="G59" s="570">
        <f>SUM(G54:G58)</f>
        <v>782</v>
      </c>
      <c r="H59" s="570">
        <f>SUM(H54:H58)</f>
        <v>843</v>
      </c>
      <c r="I59" s="570">
        <f>SUM(I54:I58)</f>
        <v>726</v>
      </c>
      <c r="J59" s="570">
        <f>SUM(J54:J58)</f>
        <v>691</v>
      </c>
      <c r="K59" s="616"/>
      <c r="L59" s="616"/>
      <c r="M59" s="653"/>
      <c r="N59" s="616"/>
      <c r="O59" s="616">
        <f>SUM(F59:J59)</f>
        <v>3853</v>
      </c>
      <c r="P59" s="665">
        <f>MAX(F59:J59)+0.002</f>
        <v>843.00199999999995</v>
      </c>
      <c r="Q59" s="617">
        <f>IF(F54="","",SUM(O59*1000)+P59)</f>
        <v>3853843.0019999999</v>
      </c>
      <c r="R59" s="625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2"/>
      <c r="AD59" s="863"/>
      <c r="AE59" s="506"/>
      <c r="AF59" s="506"/>
      <c r="AG59" s="94">
        <f t="shared" si="1"/>
        <v>54</v>
      </c>
      <c r="AH59" s="98" t="str">
        <f>IF(AF6&lt;54,"",VLOOKUP(54,B6:N70,4,FALSE))</f>
        <v>Doman Marcel</v>
      </c>
      <c r="AI59" s="94">
        <f>IF(AF6&lt;54,"",VLOOKUP(54,B6:N70,10,FALSE))</f>
        <v>492</v>
      </c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6"/>
      <c r="B60">
        <f>IF(F60="","",N60)</f>
        <v>42</v>
      </c>
      <c r="C60" s="884">
        <v>10</v>
      </c>
      <c r="D60" s="903" t="s">
        <v>127</v>
      </c>
      <c r="E60" s="704" t="s">
        <v>34</v>
      </c>
      <c r="F60" s="709">
        <v>133</v>
      </c>
      <c r="G60" s="709">
        <v>103</v>
      </c>
      <c r="H60" s="709">
        <v>148</v>
      </c>
      <c r="I60" s="709">
        <v>142</v>
      </c>
      <c r="J60" s="709">
        <v>128</v>
      </c>
      <c r="K60" s="582">
        <f>SUM(F60:J60)</f>
        <v>654</v>
      </c>
      <c r="L60" s="582">
        <f>MAX(F60:J60)</f>
        <v>148</v>
      </c>
      <c r="M60" s="649">
        <f>SUM(K60*1000)+L60+0.01</f>
        <v>654148.01</v>
      </c>
      <c r="N60" s="595">
        <f>IF(F60="","",RANK(M60,M6:M70,0))</f>
        <v>42</v>
      </c>
      <c r="O60" s="582"/>
      <c r="P60" s="662"/>
      <c r="Q60" s="597"/>
      <c r="R60" s="890">
        <f>IF(F60="","",RANK(Q65,Q11:Q71,0))</f>
        <v>6</v>
      </c>
      <c r="S60" s="537"/>
      <c r="T60" s="527"/>
      <c r="U60" s="543">
        <f>IF(R60="","",R60)</f>
        <v>6</v>
      </c>
      <c r="V60" s="544" t="str">
        <f>IF(D60="","",D60)</f>
        <v>ŘEPY II.</v>
      </c>
      <c r="W60" s="547">
        <f>IF(O65="","",O65)</f>
        <v>3576</v>
      </c>
      <c r="X60" s="527"/>
      <c r="Y60" s="527"/>
      <c r="Z60" s="527"/>
      <c r="AA60" s="527"/>
      <c r="AB60" s="548"/>
      <c r="AC60" s="555"/>
      <c r="AD60" s="863"/>
      <c r="AE60" s="506"/>
      <c r="AF60" s="506"/>
      <c r="AG60" s="94">
        <f t="shared" si="1"/>
        <v>55</v>
      </c>
      <c r="AH60" s="98" t="str">
        <f>IF(AF6&lt;55,"",VLOOKUP(55,B6:N70,4,FALSE))</f>
        <v>Liebichová Inke</v>
      </c>
      <c r="AI60" s="94">
        <f>IF(AF6&lt;55,"",VLOOKUP(55,B6:N70,10,FALSE))</f>
        <v>433</v>
      </c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6"/>
      <c r="B61">
        <f>IF(F61="","",N61)</f>
        <v>24</v>
      </c>
      <c r="C61" s="885"/>
      <c r="D61" s="904"/>
      <c r="E61" s="703" t="s">
        <v>33</v>
      </c>
      <c r="F61" s="710">
        <v>156</v>
      </c>
      <c r="G61" s="710">
        <v>147</v>
      </c>
      <c r="H61" s="710">
        <v>169</v>
      </c>
      <c r="I61" s="710">
        <v>137</v>
      </c>
      <c r="J61" s="710">
        <v>112</v>
      </c>
      <c r="K61" s="584">
        <f>SUM(F61:J61)</f>
        <v>721</v>
      </c>
      <c r="L61" s="580">
        <f>MAX(F61:J61)</f>
        <v>169</v>
      </c>
      <c r="M61" s="650">
        <f>SUM(K61*1000)+L61+0.009</f>
        <v>721169.00899999996</v>
      </c>
      <c r="N61" s="585">
        <f>IF(F61="","",RANK(M61,M6:M70,0))</f>
        <v>24</v>
      </c>
      <c r="O61" s="584"/>
      <c r="P61" s="663"/>
      <c r="Q61" s="586"/>
      <c r="R61" s="891"/>
      <c r="S61" s="538"/>
      <c r="T61" s="528"/>
      <c r="U61" s="528"/>
      <c r="V61" s="528"/>
      <c r="W61" s="528"/>
      <c r="X61" s="528"/>
      <c r="Y61" s="528"/>
      <c r="Z61" s="528"/>
      <c r="AA61" s="528"/>
      <c r="AB61" s="539"/>
      <c r="AC61" s="555"/>
      <c r="AD61" s="863"/>
      <c r="AE61" s="506"/>
      <c r="AF61" s="506"/>
      <c r="AG61" s="506"/>
      <c r="AH61" s="506"/>
      <c r="AI61" s="510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6"/>
      <c r="B62">
        <f>IF(F62="","",N62)</f>
        <v>31</v>
      </c>
      <c r="C62" s="885"/>
      <c r="D62" s="904"/>
      <c r="E62" s="703" t="s">
        <v>208</v>
      </c>
      <c r="F62" s="710">
        <v>121</v>
      </c>
      <c r="G62" s="710">
        <v>165</v>
      </c>
      <c r="H62" s="710">
        <v>139</v>
      </c>
      <c r="I62" s="710">
        <v>135</v>
      </c>
      <c r="J62" s="710">
        <v>141</v>
      </c>
      <c r="K62" s="584">
        <f>SUM(F62:J62)</f>
        <v>701</v>
      </c>
      <c r="L62" s="580">
        <f>MAX(F62:J62)</f>
        <v>165</v>
      </c>
      <c r="M62" s="650">
        <f>SUM(K62*1000)+L62+0.008</f>
        <v>701165.00800000003</v>
      </c>
      <c r="N62" s="585">
        <f>IF(F62="","",RANK(M62,M6:M70,0))</f>
        <v>31</v>
      </c>
      <c r="O62" s="584"/>
      <c r="P62" s="663"/>
      <c r="Q62" s="586"/>
      <c r="R62" s="891"/>
      <c r="S62" s="538"/>
      <c r="T62" s="528"/>
      <c r="U62" s="528"/>
      <c r="V62" s="528"/>
      <c r="W62" s="528"/>
      <c r="X62" s="528"/>
      <c r="Y62" s="528"/>
      <c r="Z62" s="528"/>
      <c r="AA62" s="528"/>
      <c r="AB62" s="539"/>
      <c r="AC62" s="555"/>
      <c r="AD62" s="863"/>
      <c r="AE62" s="506"/>
      <c r="AF62" s="506"/>
      <c r="AG62" s="506"/>
      <c r="AH62" s="506"/>
      <c r="AI62" s="510"/>
      <c r="AJ62" s="506"/>
      <c r="AK62" s="506"/>
      <c r="AL62" s="506"/>
      <c r="AM62" s="506"/>
      <c r="AN62" s="506"/>
      <c r="AO62" s="506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6"/>
      <c r="B63">
        <f>IF(F63="","",N63)</f>
        <v>29</v>
      </c>
      <c r="C63" s="885"/>
      <c r="D63" s="904"/>
      <c r="E63" s="703" t="s">
        <v>118</v>
      </c>
      <c r="F63" s="710">
        <v>112</v>
      </c>
      <c r="G63" s="710">
        <v>150</v>
      </c>
      <c r="H63" s="710">
        <v>148</v>
      </c>
      <c r="I63" s="710">
        <v>124</v>
      </c>
      <c r="J63" s="710">
        <v>175</v>
      </c>
      <c r="K63" s="584">
        <f>SUM(F63:J63)</f>
        <v>709</v>
      </c>
      <c r="L63" s="580">
        <f>MAX(F63:J63)</f>
        <v>175</v>
      </c>
      <c r="M63" s="650">
        <f>SUM(K63*1000)+L63+0.007</f>
        <v>709175.00699999998</v>
      </c>
      <c r="N63" s="585">
        <f>IF(F63="","",RANK(M63,M6:M70,0))</f>
        <v>29</v>
      </c>
      <c r="O63" s="584"/>
      <c r="P63" s="663"/>
      <c r="Q63" s="586"/>
      <c r="R63" s="891"/>
      <c r="S63" s="538"/>
      <c r="T63" s="528"/>
      <c r="U63" s="528"/>
      <c r="V63" s="528"/>
      <c r="W63" s="528"/>
      <c r="X63" s="528"/>
      <c r="Y63" s="528"/>
      <c r="Z63" s="528"/>
      <c r="AA63" s="528"/>
      <c r="AB63" s="539"/>
      <c r="AC63" s="555"/>
      <c r="AD63" s="863"/>
      <c r="AE63" s="506"/>
      <c r="AF63" s="506"/>
      <c r="AG63" s="506"/>
      <c r="AH63" s="506"/>
      <c r="AI63" s="510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6"/>
      <c r="B64">
        <f>IF(F64="","",N64)</f>
        <v>9</v>
      </c>
      <c r="C64" s="886"/>
      <c r="D64" s="905"/>
      <c r="E64" s="703" t="s">
        <v>2</v>
      </c>
      <c r="F64" s="711">
        <v>149</v>
      </c>
      <c r="G64" s="711">
        <v>144</v>
      </c>
      <c r="H64" s="711">
        <v>199</v>
      </c>
      <c r="I64" s="711">
        <v>145</v>
      </c>
      <c r="J64" s="711">
        <v>154</v>
      </c>
      <c r="K64" s="598">
        <f>SUM(F64:J64)</f>
        <v>791</v>
      </c>
      <c r="L64" s="588">
        <f>MAX(F64:J64)</f>
        <v>199</v>
      </c>
      <c r="M64" s="651">
        <f>SUM(K64*1000)+L64+0.006</f>
        <v>791199.00600000005</v>
      </c>
      <c r="N64" s="596">
        <f>IF(F64="","",RANK(M64,M6:M70,0))</f>
        <v>9</v>
      </c>
      <c r="O64" s="598"/>
      <c r="P64" s="664"/>
      <c r="Q64" s="599"/>
      <c r="R64" s="892"/>
      <c r="S64" s="540"/>
      <c r="T64" s="529"/>
      <c r="U64" s="529"/>
      <c r="V64" s="529"/>
      <c r="W64" s="529"/>
      <c r="X64" s="529"/>
      <c r="Y64" s="529"/>
      <c r="Z64" s="529"/>
      <c r="AA64" s="529"/>
      <c r="AB64" s="541"/>
      <c r="AC64" s="542"/>
      <c r="AD64" s="864"/>
      <c r="AE64" s="506"/>
      <c r="AF64" s="506"/>
      <c r="AG64" s="506"/>
      <c r="AH64" s="506"/>
      <c r="AI64" s="510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6"/>
      <c r="C65" s="524"/>
      <c r="D65" s="618"/>
      <c r="E65" s="574"/>
      <c r="F65" s="571">
        <f>SUM(F60:F64)</f>
        <v>671</v>
      </c>
      <c r="G65" s="571">
        <f>SUM(G60:G64)</f>
        <v>709</v>
      </c>
      <c r="H65" s="571">
        <f>SUM(H60:H64)</f>
        <v>803</v>
      </c>
      <c r="I65" s="571">
        <f>SUM(I60:I64)</f>
        <v>683</v>
      </c>
      <c r="J65" s="571">
        <f>SUM(J60:J64)</f>
        <v>710</v>
      </c>
      <c r="K65" s="619"/>
      <c r="L65" s="619"/>
      <c r="M65" s="648"/>
      <c r="N65" s="619"/>
      <c r="O65" s="619">
        <f>SUM(F65:J65)</f>
        <v>3576</v>
      </c>
      <c r="P65" s="661">
        <f>MAX(F65:J65)+0.001</f>
        <v>803.00099999999998</v>
      </c>
      <c r="Q65" s="620">
        <f>IF(F60="","",SUM(O65*1000)+P65)</f>
        <v>3576803.0010000002</v>
      </c>
      <c r="R65" s="621"/>
      <c r="S65" s="504"/>
      <c r="T65" s="504"/>
      <c r="U65" s="504"/>
      <c r="V65" s="504"/>
      <c r="W65" s="556"/>
      <c r="X65" s="504"/>
      <c r="Y65" s="504"/>
      <c r="Z65" s="504"/>
      <c r="AA65" s="504"/>
      <c r="AB65" s="504"/>
      <c r="AC65" s="906">
        <f>SUM(O59,O65)</f>
        <v>7429</v>
      </c>
      <c r="AD65" s="906"/>
      <c r="AE65" s="506"/>
      <c r="AF65" s="506"/>
      <c r="AG65" s="506"/>
      <c r="AH65" s="506"/>
      <c r="AI65" s="510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5" customHeight="1">
      <c r="A66" s="506"/>
      <c r="B66">
        <f>IF(F66="","",N66)</f>
        <v>46</v>
      </c>
      <c r="C66" s="884">
        <v>11</v>
      </c>
      <c r="D66" s="903" t="s">
        <v>204</v>
      </c>
      <c r="E66" s="704" t="s">
        <v>7</v>
      </c>
      <c r="F66" s="709">
        <v>119</v>
      </c>
      <c r="G66" s="709">
        <v>111</v>
      </c>
      <c r="H66" s="709">
        <v>122</v>
      </c>
      <c r="I66" s="709">
        <v>123</v>
      </c>
      <c r="J66" s="709">
        <v>146</v>
      </c>
      <c r="K66" s="580">
        <f>SUM(F66:J66)</f>
        <v>621</v>
      </c>
      <c r="L66" s="580">
        <f>MAX(F66:J66)</f>
        <v>146</v>
      </c>
      <c r="M66" s="650">
        <f>SUM(K66*1000)+L66-0.005</f>
        <v>621145.995</v>
      </c>
      <c r="N66" s="581">
        <f>IF(F66="","",RANK(M66,M6:M70,0))</f>
        <v>46</v>
      </c>
      <c r="O66" s="580"/>
      <c r="P66" s="666"/>
      <c r="Q66" s="583"/>
      <c r="R66" s="890">
        <f>IF(F66="","",RANK(Q71,Q11:Q71,0))</f>
        <v>8</v>
      </c>
      <c r="S66" s="637"/>
      <c r="T66" s="638"/>
      <c r="U66" s="543">
        <f>IF(R66="","",R66)</f>
        <v>8</v>
      </c>
      <c r="V66" s="544" t="str">
        <f>IF(D66="","",D66)</f>
        <v>ŘEPY III.</v>
      </c>
      <c r="W66" s="547">
        <f>IF(O71="","",O71)</f>
        <v>3226</v>
      </c>
      <c r="X66" s="638"/>
      <c r="Y66" s="638"/>
      <c r="Z66" s="638"/>
      <c r="AA66" s="638"/>
      <c r="AB66" s="639"/>
      <c r="AC66" s="656"/>
      <c r="AD66" s="907" t="str">
        <f>IF(E66="","","Mimo soutěž garáží")</f>
        <v>Mimo soutěž garáží</v>
      </c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5" customHeight="1">
      <c r="A67" s="506"/>
      <c r="B67">
        <f>IF(F67="","",N67)</f>
        <v>36</v>
      </c>
      <c r="C67" s="885"/>
      <c r="D67" s="904"/>
      <c r="E67" s="703" t="s">
        <v>18</v>
      </c>
      <c r="F67" s="710">
        <v>121</v>
      </c>
      <c r="G67" s="710">
        <v>119</v>
      </c>
      <c r="H67" s="710">
        <v>143</v>
      </c>
      <c r="I67" s="710">
        <v>156</v>
      </c>
      <c r="J67" s="710">
        <v>142</v>
      </c>
      <c r="K67" s="584">
        <f>SUM(F67:J67)</f>
        <v>681</v>
      </c>
      <c r="L67" s="580">
        <f>MAX(F67:J67)</f>
        <v>156</v>
      </c>
      <c r="M67" s="650">
        <f>SUM(K67*1000)+L67-0.004</f>
        <v>681155.99600000004</v>
      </c>
      <c r="N67" s="585">
        <f>IF(F67="","",RANK(M67,M6:M70,0))</f>
        <v>36</v>
      </c>
      <c r="O67" s="584"/>
      <c r="P67" s="663"/>
      <c r="Q67" s="586"/>
      <c r="R67" s="891"/>
      <c r="S67" s="640"/>
      <c r="T67" s="573"/>
      <c r="U67" s="573"/>
      <c r="V67" s="573"/>
      <c r="W67" s="573"/>
      <c r="X67" s="573"/>
      <c r="Y67" s="573"/>
      <c r="Z67" s="573"/>
      <c r="AA67" s="573"/>
      <c r="AB67" s="641"/>
      <c r="AC67" s="657"/>
      <c r="AD67" s="908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5" customHeight="1">
      <c r="A68" s="506"/>
      <c r="B68">
        <f>IF(F68="","",N68)</f>
        <v>40</v>
      </c>
      <c r="C68" s="885"/>
      <c r="D68" s="904"/>
      <c r="E68" s="703" t="s">
        <v>209</v>
      </c>
      <c r="F68" s="710">
        <v>108</v>
      </c>
      <c r="G68" s="710">
        <v>133</v>
      </c>
      <c r="H68" s="710">
        <v>117</v>
      </c>
      <c r="I68" s="710">
        <v>149</v>
      </c>
      <c r="J68" s="710">
        <v>161</v>
      </c>
      <c r="K68" s="584">
        <f>SUM(F68:J68)</f>
        <v>668</v>
      </c>
      <c r="L68" s="580">
        <f>MAX(F68:J68)</f>
        <v>161</v>
      </c>
      <c r="M68" s="650">
        <f>SUM(K68*1000)+L68-0.003</f>
        <v>668160.99699999997</v>
      </c>
      <c r="N68" s="585">
        <f>IF(F68="","",RANK(M68,M6:M70,0))</f>
        <v>40</v>
      </c>
      <c r="O68" s="584"/>
      <c r="P68" s="663"/>
      <c r="Q68" s="586"/>
      <c r="R68" s="891"/>
      <c r="S68" s="640"/>
      <c r="T68" s="573"/>
      <c r="U68" s="573"/>
      <c r="V68" s="573"/>
      <c r="W68" s="573"/>
      <c r="X68" s="573"/>
      <c r="Y68" s="573"/>
      <c r="Z68" s="573"/>
      <c r="AA68" s="573"/>
      <c r="AB68" s="641"/>
      <c r="AC68" s="657"/>
      <c r="AD68" s="908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5" customHeight="1">
      <c r="A69" s="506"/>
      <c r="B69">
        <f>IF(F69="","",N69)</f>
        <v>43</v>
      </c>
      <c r="C69" s="885"/>
      <c r="D69" s="904"/>
      <c r="E69" s="703" t="s">
        <v>75</v>
      </c>
      <c r="F69" s="710">
        <v>132</v>
      </c>
      <c r="G69" s="710">
        <v>137</v>
      </c>
      <c r="H69" s="710">
        <v>104</v>
      </c>
      <c r="I69" s="710">
        <v>167</v>
      </c>
      <c r="J69" s="710">
        <v>113</v>
      </c>
      <c r="K69" s="584">
        <f>SUM(F69:J69)</f>
        <v>653</v>
      </c>
      <c r="L69" s="580">
        <f>MAX(F69:J69)</f>
        <v>167</v>
      </c>
      <c r="M69" s="650">
        <f>SUM(K69*1000)+L69+0.002</f>
        <v>653167.00199999998</v>
      </c>
      <c r="N69" s="585">
        <f>IF(F69="","",RANK(M69,M6:M70,0))</f>
        <v>43</v>
      </c>
      <c r="O69" s="584"/>
      <c r="P69" s="663"/>
      <c r="Q69" s="586"/>
      <c r="R69" s="891"/>
      <c r="S69" s="640"/>
      <c r="T69" s="573"/>
      <c r="U69" s="573"/>
      <c r="V69" s="573"/>
      <c r="W69" s="573"/>
      <c r="X69" s="573"/>
      <c r="Y69" s="573"/>
      <c r="Z69" s="573"/>
      <c r="AA69" s="573"/>
      <c r="AB69" s="641"/>
      <c r="AC69" s="657"/>
      <c r="AD69" s="908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5" customHeight="1">
      <c r="A70" s="506"/>
      <c r="B70">
        <f>IF(F70="","",N70)</f>
        <v>49</v>
      </c>
      <c r="C70" s="885"/>
      <c r="D70" s="904"/>
      <c r="E70" s="703" t="s">
        <v>45</v>
      </c>
      <c r="F70" s="711">
        <v>108</v>
      </c>
      <c r="G70" s="712">
        <v>104</v>
      </c>
      <c r="H70" s="712">
        <v>132</v>
      </c>
      <c r="I70" s="712">
        <v>126</v>
      </c>
      <c r="J70" s="712">
        <v>133</v>
      </c>
      <c r="K70" s="626">
        <f>SUM(F70:J70)</f>
        <v>603</v>
      </c>
      <c r="L70" s="627">
        <f>MAX(F70:J70)</f>
        <v>133</v>
      </c>
      <c r="M70" s="654">
        <f>SUM(K70*1000)+L70+0.001</f>
        <v>603133.00100000005</v>
      </c>
      <c r="N70" s="628">
        <f>IF(F70="","",RANK(M70,M6:M70,0))</f>
        <v>49</v>
      </c>
      <c r="O70" s="626"/>
      <c r="P70" s="667"/>
      <c r="Q70" s="629"/>
      <c r="R70" s="892"/>
      <c r="S70" s="642"/>
      <c r="T70" s="643"/>
      <c r="U70" s="643"/>
      <c r="V70" s="643"/>
      <c r="W70" s="643"/>
      <c r="X70" s="643"/>
      <c r="Y70" s="643"/>
      <c r="Z70" s="643"/>
      <c r="AA70" s="643"/>
      <c r="AB70" s="644"/>
      <c r="AC70" s="658"/>
      <c r="AD70" s="909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C71" s="630"/>
      <c r="D71" s="631"/>
      <c r="E71" s="632"/>
      <c r="F71" s="633">
        <f>SUM(F66:F70)</f>
        <v>588</v>
      </c>
      <c r="G71" s="633">
        <f>SUM(G66:G70)</f>
        <v>604</v>
      </c>
      <c r="H71" s="633">
        <f>SUM(H66:H70)</f>
        <v>618</v>
      </c>
      <c r="I71" s="633">
        <f>SUM(I66:I70)</f>
        <v>721</v>
      </c>
      <c r="J71" s="633">
        <f>SUM(J66:J70)</f>
        <v>695</v>
      </c>
      <c r="K71" s="634"/>
      <c r="L71" s="634">
        <f>MAX(L12:L70,L6:L10)</f>
        <v>223</v>
      </c>
      <c r="M71" s="634"/>
      <c r="N71" s="634"/>
      <c r="O71" s="634">
        <f>SUM(F71:J71)</f>
        <v>3226</v>
      </c>
      <c r="P71" s="668">
        <f>MAX(F71:J71)</f>
        <v>721</v>
      </c>
      <c r="Q71" s="635">
        <f>IF(F66="","",SUM(O71*1000)+P71)</f>
        <v>3226721</v>
      </c>
      <c r="R71" s="63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06"/>
      <c r="Q80" s="506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06"/>
      <c r="Q84" s="506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6"/>
      <c r="AK84" s="506"/>
      <c r="AL84" s="506"/>
      <c r="AM84" s="506"/>
      <c r="AN84" s="506"/>
      <c r="AO84" s="506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06"/>
      <c r="Q85" s="506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06"/>
      <c r="Q88" s="506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06"/>
      <c r="Q92" s="506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06"/>
      <c r="AJ92" s="506"/>
      <c r="AK92" s="506"/>
      <c r="AL92" s="506"/>
      <c r="AM92" s="506"/>
      <c r="AN92" s="506"/>
      <c r="AO92" s="506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06"/>
      <c r="AJ93" s="506"/>
      <c r="AK93" s="506"/>
      <c r="AL93" s="506"/>
      <c r="AM93" s="506"/>
      <c r="AN93" s="506"/>
      <c r="AO93" s="506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06"/>
      <c r="Q94" s="506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06"/>
      <c r="AJ94" s="506"/>
      <c r="AK94" s="506"/>
      <c r="AL94" s="506"/>
      <c r="AM94" s="506"/>
      <c r="AN94" s="506"/>
      <c r="AO94" s="506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506"/>
      <c r="AK97" s="506"/>
      <c r="AL97" s="506"/>
      <c r="AM97" s="506"/>
      <c r="AN97" s="506"/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objects="1" scenarios="1" selectLockedCells="1"/>
  <mergeCells count="51">
    <mergeCell ref="C66:C70"/>
    <mergeCell ref="D66:D70"/>
    <mergeCell ref="R66:R70"/>
    <mergeCell ref="AD66:AD70"/>
    <mergeCell ref="AC53:AD53"/>
    <mergeCell ref="C54:C58"/>
    <mergeCell ref="D54:D58"/>
    <mergeCell ref="R54:R58"/>
    <mergeCell ref="AD54:AD64"/>
    <mergeCell ref="AC41:AD41"/>
    <mergeCell ref="C42:C46"/>
    <mergeCell ref="D42:D46"/>
    <mergeCell ref="R42:R46"/>
    <mergeCell ref="AD42:AD52"/>
    <mergeCell ref="AC65:AD65"/>
    <mergeCell ref="D30:D34"/>
    <mergeCell ref="C60:C64"/>
    <mergeCell ref="D60:D64"/>
    <mergeCell ref="R60:R64"/>
    <mergeCell ref="D36:D40"/>
    <mergeCell ref="R36:R40"/>
    <mergeCell ref="R18:R22"/>
    <mergeCell ref="C48:C52"/>
    <mergeCell ref="D48:D52"/>
    <mergeCell ref="R48:R52"/>
    <mergeCell ref="AL19:AN19"/>
    <mergeCell ref="C24:C28"/>
    <mergeCell ref="D24:D28"/>
    <mergeCell ref="R24:R28"/>
    <mergeCell ref="AC29:AD29"/>
    <mergeCell ref="C30:C34"/>
    <mergeCell ref="AD6:AD16"/>
    <mergeCell ref="R30:R34"/>
    <mergeCell ref="AD30:AD40"/>
    <mergeCell ref="C36:C40"/>
    <mergeCell ref="C12:C16"/>
    <mergeCell ref="D12:D16"/>
    <mergeCell ref="R12:R16"/>
    <mergeCell ref="AC17:AD17"/>
    <mergeCell ref="C18:C22"/>
    <mergeCell ref="D18:D22"/>
    <mergeCell ref="AL6:AN6"/>
    <mergeCell ref="AD18:AD28"/>
    <mergeCell ref="A1:A4"/>
    <mergeCell ref="D3:AN3"/>
    <mergeCell ref="C5:D5"/>
    <mergeCell ref="N5:O5"/>
    <mergeCell ref="AG5:AI5"/>
    <mergeCell ref="C6:C10"/>
    <mergeCell ref="D6:D10"/>
    <mergeCell ref="R6:R10"/>
  </mergeCells>
  <conditionalFormatting sqref="R71 R23:R24 R29:R30 R35:R36 R41:R42 R47:R48 R53:R54 R59:R60 R65:R66 R6 R11:R12 R17:R18">
    <cfRule type="cellIs" dxfId="49" priority="22" stopIfTrue="1" operator="equal">
      <formula>3</formula>
    </cfRule>
    <cfRule type="cellIs" dxfId="48" priority="23" stopIfTrue="1" operator="equal">
      <formula>2</formula>
    </cfRule>
    <cfRule type="cellIs" dxfId="47" priority="24" stopIfTrue="1" operator="equal">
      <formula>1</formula>
    </cfRule>
  </conditionalFormatting>
  <conditionalFormatting sqref="F12:J16 F6:J10 F18:J22 F24:J28 F30:J34 F36:J40 F42:J46 F48:J52 F54:J58 F60:J64 F66:J70">
    <cfRule type="cellIs" dxfId="46" priority="21" stopIfTrue="1" operator="equal">
      <formula>$L$71</formula>
    </cfRule>
  </conditionalFormatting>
  <conditionalFormatting sqref="V6:AB6 AD6:AE6 V12:W12">
    <cfRule type="cellIs" dxfId="45" priority="18" stopIfTrue="1" operator="equal">
      <formula>3</formula>
    </cfRule>
    <cfRule type="cellIs" dxfId="44" priority="19" stopIfTrue="1" operator="equal">
      <formula>2</formula>
    </cfRule>
    <cfRule type="cellIs" dxfId="43" priority="20" stopIfTrue="1" operator="equal">
      <formula>1</formula>
    </cfRule>
  </conditionalFormatting>
  <conditionalFormatting sqref="AD54 V18:AB18 V30:AB30 V42:AB42 V54:AB54 AD18 AD30 AD42 V24:W24 V36:W36 V48:W48 V60:W60">
    <cfRule type="cellIs" dxfId="42" priority="15" stopIfTrue="1" operator="equal">
      <formula>3</formula>
    </cfRule>
    <cfRule type="cellIs" dxfId="41" priority="16" stopIfTrue="1" operator="equal">
      <formula>2</formula>
    </cfRule>
    <cfRule type="cellIs" dxfId="40" priority="17" stopIfTrue="1" operator="equal">
      <formula>1</formula>
    </cfRule>
  </conditionalFormatting>
  <conditionalFormatting sqref="V66:W66">
    <cfRule type="cellIs" dxfId="39" priority="12" stopIfTrue="1" operator="equal">
      <formula>3</formula>
    </cfRule>
    <cfRule type="cellIs" dxfId="38" priority="13" stopIfTrue="1" operator="equal">
      <formula>2</formula>
    </cfRule>
    <cfRule type="cellIs" dxfId="37" priority="14" stopIfTrue="1" operator="equal">
      <formula>1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tabColor rgb="FF993300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865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B3" s="504"/>
      <c r="C3" s="568"/>
      <c r="D3" s="866" t="s">
        <v>194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903" t="s">
        <v>124</v>
      </c>
      <c r="E6" s="704"/>
      <c r="F6" s="695"/>
      <c r="G6" s="695"/>
      <c r="H6" s="695"/>
      <c r="I6" s="695"/>
      <c r="J6" s="695"/>
      <c r="K6" s="97">
        <f>SUM(F6:J6)</f>
        <v>0</v>
      </c>
      <c r="L6" s="479">
        <f t="shared" ref="L6:L16" si="0">MAX(F6:J6)</f>
        <v>0</v>
      </c>
      <c r="M6" s="486">
        <f>SUM(K6*1000)+L6+0.5</f>
        <v>0.5</v>
      </c>
      <c r="N6" s="406" t="str">
        <f>IF(F6="","",RANK(M6,M6:M65,0))</f>
        <v/>
      </c>
      <c r="O6" s="479"/>
      <c r="P6" s="487"/>
      <c r="Q6" s="672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ŘEPY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ŘEPY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904"/>
      <c r="E7" s="703"/>
      <c r="F7" s="696"/>
      <c r="G7" s="696"/>
      <c r="H7" s="696"/>
      <c r="I7" s="696"/>
      <c r="J7" s="696"/>
      <c r="K7" s="96">
        <f>SUM(F7:J7)</f>
        <v>0</v>
      </c>
      <c r="L7" s="477">
        <f t="shared" si="0"/>
        <v>0</v>
      </c>
      <c r="M7" s="478">
        <f>SUM(K7*1000)+L7+0.49</f>
        <v>0.49</v>
      </c>
      <c r="N7" s="407" t="str">
        <f>IF(F7="","",RANK(M7,M6:M65,0))</f>
        <v/>
      </c>
      <c r="O7" s="481"/>
      <c r="P7" s="482"/>
      <c r="Q7" s="673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4"/>
      <c r="B8" s="280" t="str">
        <f>IF(F8="","",N8)</f>
        <v/>
      </c>
      <c r="C8" s="885"/>
      <c r="D8" s="904"/>
      <c r="E8" s="703"/>
      <c r="F8" s="696"/>
      <c r="G8" s="696"/>
      <c r="H8" s="696"/>
      <c r="I8" s="696"/>
      <c r="J8" s="696"/>
      <c r="K8" s="96">
        <f>SUM(F8:J8)</f>
        <v>0</v>
      </c>
      <c r="L8" s="477">
        <f t="shared" si="0"/>
        <v>0</v>
      </c>
      <c r="M8" s="478">
        <f>SUM(K8*1000)+L8+0.48</f>
        <v>0.48</v>
      </c>
      <c r="N8" s="407" t="str">
        <f>IF(F8="","",RANK(M8,M6:M65,0))</f>
        <v/>
      </c>
      <c r="O8" s="481"/>
      <c r="P8" s="482"/>
      <c r="Q8" s="673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4"/>
      <c r="B9" s="280" t="str">
        <f>IF(F9="","",N9)</f>
        <v/>
      </c>
      <c r="C9" s="885"/>
      <c r="D9" s="904"/>
      <c r="E9" s="703"/>
      <c r="F9" s="696"/>
      <c r="G9" s="696"/>
      <c r="H9" s="696"/>
      <c r="I9" s="696"/>
      <c r="J9" s="696"/>
      <c r="K9" s="96">
        <f>SUM(F9:J9)</f>
        <v>0</v>
      </c>
      <c r="L9" s="477">
        <f t="shared" si="0"/>
        <v>0</v>
      </c>
      <c r="M9" s="478">
        <f>SUM(K9*1000)+L9+0.47</f>
        <v>0.47</v>
      </c>
      <c r="N9" s="407" t="str">
        <f>IF(F9="","",RANK(M9,M6:M65,0))</f>
        <v/>
      </c>
      <c r="O9" s="481"/>
      <c r="P9" s="482"/>
      <c r="Q9" s="673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4"/>
      <c r="B10" s="280" t="str">
        <f>IF(F10="","",N10)</f>
        <v/>
      </c>
      <c r="C10" s="886"/>
      <c r="D10" s="905"/>
      <c r="E10" s="703"/>
      <c r="F10" s="697"/>
      <c r="G10" s="697"/>
      <c r="H10" s="697"/>
      <c r="I10" s="697"/>
      <c r="J10" s="697"/>
      <c r="K10" s="96">
        <f>SUM(F10:J10)</f>
        <v>0</v>
      </c>
      <c r="L10" s="484">
        <f t="shared" si="0"/>
        <v>0</v>
      </c>
      <c r="M10" s="489">
        <f>SUM(K10*1000)+L10+0.46</f>
        <v>0.46</v>
      </c>
      <c r="N10" s="408" t="str">
        <f>IF(F10="","",RANK(M10,M6:M65,0))</f>
        <v/>
      </c>
      <c r="O10" s="488"/>
      <c r="P10" s="490"/>
      <c r="Q10" s="687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4"/>
      <c r="B11" s="280"/>
      <c r="C11" s="523"/>
      <c r="D11" s="491"/>
      <c r="E11" s="497"/>
      <c r="F11" s="485">
        <f>SUM(F6:F10)</f>
        <v>0</v>
      </c>
      <c r="G11" s="485">
        <f>SUM(G6:G10)</f>
        <v>0</v>
      </c>
      <c r="H11" s="485">
        <f>SUM(H6:H10)</f>
        <v>0</v>
      </c>
      <c r="I11" s="485">
        <f>SUM(I6:I10)</f>
        <v>0</v>
      </c>
      <c r="J11" s="485">
        <f>SUM(J6:J10)</f>
        <v>0</v>
      </c>
      <c r="K11" s="483"/>
      <c r="L11" s="483">
        <f t="shared" si="0"/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903" t="s">
        <v>127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87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ŘEPY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904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82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904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82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904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82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904"/>
      <c r="E16" s="703"/>
      <c r="F16" s="697"/>
      <c r="G16" s="697"/>
      <c r="H16" s="697"/>
      <c r="I16" s="697"/>
      <c r="J16" s="697"/>
      <c r="K16" s="409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96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15"/>
      <c r="F17" s="522">
        <f>SUM(F12:F16)</f>
        <v>0</v>
      </c>
      <c r="G17" s="522">
        <f>SUM(G12:G16)</f>
        <v>0</v>
      </c>
      <c r="H17" s="522">
        <f>SUM(H12:H16)</f>
        <v>0</v>
      </c>
      <c r="I17" s="522">
        <f>SUM(I12:I16)</f>
        <v>0</v>
      </c>
      <c r="J17" s="522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875" t="s">
        <v>131</v>
      </c>
      <c r="E18" s="704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80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KAČEROV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KAČEROV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876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82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876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82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876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82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877"/>
      <c r="E22" s="717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96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2"/>
      <c r="F23" s="498">
        <f>SUM(F18:F22)</f>
        <v>0</v>
      </c>
      <c r="G23" s="498">
        <f>SUM(G18:G22)</f>
        <v>0</v>
      </c>
      <c r="H23" s="498">
        <f>SUM(H18:H22)</f>
        <v>0</v>
      </c>
      <c r="I23" s="498">
        <f>SUM(I18:I22)</f>
        <v>0</v>
      </c>
      <c r="J23" s="498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875" t="s">
        <v>133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80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KAČEROV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876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82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876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82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876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82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876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96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15"/>
      <c r="F29" s="522">
        <f>SUM(F24:F28)</f>
        <v>0</v>
      </c>
      <c r="G29" s="522">
        <f>SUM(G24:G28)</f>
        <v>0</v>
      </c>
      <c r="H29" s="522">
        <f>SUM(H24:H28)</f>
        <v>0</v>
      </c>
      <c r="I29" s="522">
        <f>SUM(I24:I28)</f>
        <v>0</v>
      </c>
      <c r="J29" s="522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894" t="s">
        <v>134</v>
      </c>
      <c r="E30" s="702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80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HOSTIVAŘ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HOSTIVAŘ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895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82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895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82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4"/>
      <c r="B33" s="280" t="str">
        <f>IF(F33="","",N33)</f>
        <v/>
      </c>
      <c r="C33" s="885"/>
      <c r="D33" s="895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82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4"/>
      <c r="B34" s="280" t="str">
        <f>IF(F34="","",N34)</f>
        <v/>
      </c>
      <c r="C34" s="885"/>
      <c r="D34" s="895"/>
      <c r="E34" s="703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96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4"/>
      <c r="B35" s="280"/>
      <c r="C35" s="525"/>
      <c r="D35" s="501"/>
      <c r="E35" s="497"/>
      <c r="F35" s="498">
        <f>SUM(F30:F34)</f>
        <v>0</v>
      </c>
      <c r="G35" s="498">
        <f>SUM(G30:G34)</f>
        <v>0</v>
      </c>
      <c r="H35" s="498">
        <f>SUM(H30:H34)</f>
        <v>0</v>
      </c>
      <c r="I35" s="498">
        <f>SUM(I30:I34)</f>
        <v>0</v>
      </c>
      <c r="J35" s="498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4"/>
      <c r="B36" s="280" t="str">
        <f>IF(F36="","",N36)</f>
        <v/>
      </c>
      <c r="C36" s="884">
        <v>6</v>
      </c>
      <c r="D36" s="895" t="s">
        <v>135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80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HOSTIVAŘ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4"/>
      <c r="B37" s="280" t="str">
        <f>IF(F37="","",N37)</f>
        <v/>
      </c>
      <c r="C37" s="885"/>
      <c r="D37" s="895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82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4"/>
      <c r="B38" s="280" t="str">
        <f>IF(F38="","",N38)</f>
        <v/>
      </c>
      <c r="C38" s="885"/>
      <c r="D38" s="895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82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4"/>
      <c r="B39" s="280" t="str">
        <f>IF(F39="","",N39)</f>
        <v/>
      </c>
      <c r="C39" s="885"/>
      <c r="D39" s="895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82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4"/>
      <c r="B40" s="280" t="str">
        <f>IF(F40="","",N40)</f>
        <v/>
      </c>
      <c r="C40" s="885"/>
      <c r="D40" s="895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96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4"/>
      <c r="B41" s="504"/>
      <c r="C41" s="524"/>
      <c r="D41" s="519"/>
      <c r="E41" s="515"/>
      <c r="F41" s="522">
        <f>SUM(F36:F40)</f>
        <v>0</v>
      </c>
      <c r="G41" s="522">
        <f>SUM(G36:G40)</f>
        <v>0</v>
      </c>
      <c r="H41" s="522">
        <f>SUM(H36:H40)</f>
        <v>0</v>
      </c>
      <c r="I41" s="522">
        <f>SUM(I36:I40)</f>
        <v>0</v>
      </c>
      <c r="J41" s="522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4"/>
      <c r="B42" s="280" t="str">
        <f>IF(F42="","",N42)</f>
        <v/>
      </c>
      <c r="C42" s="884">
        <v>7</v>
      </c>
      <c r="D42" s="901" t="s">
        <v>136</v>
      </c>
      <c r="E42" s="704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80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VRŠOVICE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VRŠOVICE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4"/>
      <c r="B43" s="280" t="str">
        <f>IF(F43="","",N43)</f>
        <v/>
      </c>
      <c r="C43" s="885"/>
      <c r="D43" s="901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82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4"/>
      <c r="B44" s="280" t="str">
        <f>IF(F44="","",N44)</f>
        <v/>
      </c>
      <c r="C44" s="885"/>
      <c r="D44" s="901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82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4"/>
      <c r="B45" s="280" t="str">
        <f>IF(F45="","",N45)</f>
        <v/>
      </c>
      <c r="C45" s="885"/>
      <c r="D45" s="901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82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4"/>
      <c r="B46" s="280" t="str">
        <f>IF(F46="","",N46)</f>
        <v/>
      </c>
      <c r="C46" s="885"/>
      <c r="D46" s="901"/>
      <c r="E46" s="703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96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4"/>
      <c r="B47" s="280"/>
      <c r="C47" s="525"/>
      <c r="D47" s="412"/>
      <c r="E47" s="497"/>
      <c r="F47" s="498">
        <f>SUM(F42:F46)</f>
        <v>0</v>
      </c>
      <c r="G47" s="498">
        <f>SUM(G42:G46)</f>
        <v>0</v>
      </c>
      <c r="H47" s="498">
        <f>SUM(H42:H46)</f>
        <v>0</v>
      </c>
      <c r="I47" s="498">
        <f>SUM(I42:I46)</f>
        <v>0</v>
      </c>
      <c r="J47" s="498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4"/>
      <c r="B48" s="280" t="str">
        <f>IF(F48="","",N48)</f>
        <v/>
      </c>
      <c r="C48" s="884">
        <v>8</v>
      </c>
      <c r="D48" s="900" t="s">
        <v>137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80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VRŠOVICE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901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82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901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82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901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82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901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96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4"/>
      <c r="E53" s="515"/>
      <c r="F53" s="522">
        <f>SUM(F48:F52)</f>
        <v>0</v>
      </c>
      <c r="G53" s="522">
        <f>SUM(G48:G52)</f>
        <v>0</v>
      </c>
      <c r="H53" s="522">
        <f>SUM(H48:H52)</f>
        <v>0</v>
      </c>
      <c r="I53" s="522">
        <f>SUM(I48:I52)</f>
        <v>0</v>
      </c>
      <c r="J53" s="522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897" t="s">
        <v>138</v>
      </c>
      <c r="E54" s="704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80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KLÍČOV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KLÍČOV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898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82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898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82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898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82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898"/>
      <c r="E58" s="703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96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1"/>
      <c r="E59" s="497"/>
      <c r="F59" s="498">
        <f>SUM(F54:F58)</f>
        <v>0</v>
      </c>
      <c r="G59" s="498">
        <f>SUM(G54:G58)</f>
        <v>0</v>
      </c>
      <c r="H59" s="498">
        <f>SUM(H54:H58)</f>
        <v>0</v>
      </c>
      <c r="I59" s="498">
        <f>SUM(I54:I58)</f>
        <v>0</v>
      </c>
      <c r="J59" s="498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897" t="s">
        <v>139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80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KLÍČOV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898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82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898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82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898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82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898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96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682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680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D3:AN3"/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D12:D16"/>
    <mergeCell ref="R12:R16"/>
    <mergeCell ref="AC17:AD17"/>
    <mergeCell ref="C18:C22"/>
    <mergeCell ref="D18:D22"/>
    <mergeCell ref="R18:R22"/>
    <mergeCell ref="AD18:AD28"/>
    <mergeCell ref="AL6:AN6"/>
    <mergeCell ref="A1:A4"/>
    <mergeCell ref="C5:D5"/>
    <mergeCell ref="N5:O5"/>
    <mergeCell ref="AG5:AI5"/>
    <mergeCell ref="C6:C10"/>
    <mergeCell ref="D6:D10"/>
    <mergeCell ref="R6:R10"/>
    <mergeCell ref="AD6:AD16"/>
    <mergeCell ref="C12:C16"/>
  </mergeCells>
  <conditionalFormatting sqref="AD54 R6 R11:R12 R17:R18 R23:R24 R29:R30 R35:R36 R41:R42 R47:R48 R53:R54 R59:R60 R65 V6:AB6 AD6 V18:AB18 V30:AB30 V42:AB42 V54:AB54 AD18 AD30 AD42 V12:W12 V24:W24 V36:W36 V48:W48 V60:W60">
    <cfRule type="cellIs" dxfId="36" priority="12" stopIfTrue="1" operator="equal">
      <formula>3</formula>
    </cfRule>
    <cfRule type="cellIs" dxfId="35" priority="13" stopIfTrue="1" operator="equal">
      <formula>2</formula>
    </cfRule>
    <cfRule type="cellIs" dxfId="34" priority="14" stopIfTrue="1" operator="equal">
      <formula>1</formula>
    </cfRule>
  </conditionalFormatting>
  <conditionalFormatting sqref="F6:J10 F12:J16 F18:J22 F24:J28 F30:J34 F36:J40 F42:J46 F48:J52 F54:J58 F60:J64">
    <cfRule type="cellIs" dxfId="33" priority="11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008000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865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B3" s="504"/>
      <c r="C3" s="568"/>
      <c r="D3" s="866" t="s">
        <v>195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897" t="s">
        <v>138</v>
      </c>
      <c r="E6" s="704"/>
      <c r="F6" s="695"/>
      <c r="G6" s="695"/>
      <c r="H6" s="695"/>
      <c r="I6" s="695"/>
      <c r="J6" s="695"/>
      <c r="K6" s="479">
        <f>SUM(F6:J6)</f>
        <v>0</v>
      </c>
      <c r="L6" s="479">
        <f t="shared" ref="L6:L16" si="0">MAX(F6:J6)</f>
        <v>0</v>
      </c>
      <c r="M6" s="486">
        <f>SUM(K6*1000)+L6+0.5</f>
        <v>0.5</v>
      </c>
      <c r="N6" s="406" t="str">
        <f>IF(F6="","",RANK(M6,M6:M65,0))</f>
        <v/>
      </c>
      <c r="O6" s="479"/>
      <c r="P6" s="487"/>
      <c r="Q6" s="672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KLÍČOV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KLÍČOV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898"/>
      <c r="E7" s="703"/>
      <c r="F7" s="696"/>
      <c r="G7" s="696"/>
      <c r="H7" s="696"/>
      <c r="I7" s="696"/>
      <c r="J7" s="696"/>
      <c r="K7" s="481">
        <f>SUM(F7:J7)</f>
        <v>0</v>
      </c>
      <c r="L7" s="477">
        <f t="shared" si="0"/>
        <v>0</v>
      </c>
      <c r="M7" s="478">
        <f>SUM(K7*1000)+L7+0.49</f>
        <v>0.49</v>
      </c>
      <c r="N7" s="407" t="str">
        <f>IF(F7="","",RANK(M7,M6:M65,0))</f>
        <v/>
      </c>
      <c r="O7" s="481"/>
      <c r="P7" s="482"/>
      <c r="Q7" s="673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4"/>
      <c r="B8" s="280" t="str">
        <f>IF(F8="","",N8)</f>
        <v/>
      </c>
      <c r="C8" s="885"/>
      <c r="D8" s="898"/>
      <c r="E8" s="703"/>
      <c r="F8" s="696"/>
      <c r="G8" s="696"/>
      <c r="H8" s="696"/>
      <c r="I8" s="696"/>
      <c r="J8" s="696"/>
      <c r="K8" s="481">
        <f>SUM(F8:J8)</f>
        <v>0</v>
      </c>
      <c r="L8" s="477">
        <f t="shared" si="0"/>
        <v>0</v>
      </c>
      <c r="M8" s="478">
        <f>SUM(K8*1000)+L8+0.48</f>
        <v>0.48</v>
      </c>
      <c r="N8" s="407" t="str">
        <f>IF(F8="","",RANK(M8,M6:M65,0))</f>
        <v/>
      </c>
      <c r="O8" s="481"/>
      <c r="P8" s="482"/>
      <c r="Q8" s="673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4"/>
      <c r="B9" s="280" t="str">
        <f>IF(F9="","",N9)</f>
        <v/>
      </c>
      <c r="C9" s="885"/>
      <c r="D9" s="898"/>
      <c r="E9" s="703"/>
      <c r="F9" s="696"/>
      <c r="G9" s="696"/>
      <c r="H9" s="696"/>
      <c r="I9" s="696"/>
      <c r="J9" s="696"/>
      <c r="K9" s="481">
        <f>SUM(F9:J9)</f>
        <v>0</v>
      </c>
      <c r="L9" s="477">
        <f t="shared" si="0"/>
        <v>0</v>
      </c>
      <c r="M9" s="478">
        <f>SUM(K9*1000)+L9+0.47</f>
        <v>0.47</v>
      </c>
      <c r="N9" s="407" t="str">
        <f>IF(F9="","",RANK(M9,M6:M65,0))</f>
        <v/>
      </c>
      <c r="O9" s="481"/>
      <c r="P9" s="482"/>
      <c r="Q9" s="673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4"/>
      <c r="B10" s="280" t="str">
        <f>IF(F10="","",N10)</f>
        <v/>
      </c>
      <c r="C10" s="886"/>
      <c r="D10" s="899"/>
      <c r="E10" s="703"/>
      <c r="F10" s="697"/>
      <c r="G10" s="697"/>
      <c r="H10" s="697"/>
      <c r="I10" s="697"/>
      <c r="J10" s="697"/>
      <c r="K10" s="488">
        <f>SUM(F10:J10)</f>
        <v>0</v>
      </c>
      <c r="L10" s="484">
        <f t="shared" si="0"/>
        <v>0</v>
      </c>
      <c r="M10" s="489">
        <f>SUM(K10*1000)+L10+0.46</f>
        <v>0.46</v>
      </c>
      <c r="N10" s="408" t="str">
        <f>IF(F10="","",RANK(M10,M6:M65,0))</f>
        <v/>
      </c>
      <c r="O10" s="488"/>
      <c r="P10" s="490"/>
      <c r="Q10" s="687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4"/>
      <c r="B11" s="280"/>
      <c r="C11" s="523"/>
      <c r="D11" s="491"/>
      <c r="E11" s="497"/>
      <c r="F11" s="485">
        <f>SUM(F6:F10)</f>
        <v>0</v>
      </c>
      <c r="G11" s="485">
        <f>SUM(G6:G10)</f>
        <v>0</v>
      </c>
      <c r="H11" s="485">
        <f>SUM(H6:H10)</f>
        <v>0</v>
      </c>
      <c r="I11" s="485">
        <f>SUM(I6:I10)</f>
        <v>0</v>
      </c>
      <c r="J11" s="485">
        <f>SUM(J6:J10)</f>
        <v>0</v>
      </c>
      <c r="K11" s="483"/>
      <c r="L11" s="483">
        <f t="shared" si="0"/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897" t="s">
        <v>139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87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KLÍČOV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898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82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898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82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898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82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898"/>
      <c r="E16" s="703"/>
      <c r="F16" s="697"/>
      <c r="G16" s="697"/>
      <c r="H16" s="697"/>
      <c r="I16" s="697"/>
      <c r="J16" s="697"/>
      <c r="K16" s="409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96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15"/>
      <c r="F17" s="522">
        <f>SUM(F12:F16)</f>
        <v>0</v>
      </c>
      <c r="G17" s="522">
        <f>SUM(G12:G16)</f>
        <v>0</v>
      </c>
      <c r="H17" s="522">
        <f>SUM(H12:H16)</f>
        <v>0</v>
      </c>
      <c r="I17" s="522">
        <f>SUM(I12:I16)</f>
        <v>0</v>
      </c>
      <c r="J17" s="522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903" t="s">
        <v>124</v>
      </c>
      <c r="E18" s="704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80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ŘEPY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ŘEPY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904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82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904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82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904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82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905"/>
      <c r="E22" s="703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96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7"/>
      <c r="F23" s="498">
        <f>SUM(F18:F22)</f>
        <v>0</v>
      </c>
      <c r="G23" s="498">
        <f>SUM(G18:G22)</f>
        <v>0</v>
      </c>
      <c r="H23" s="498">
        <f>SUM(H18:H22)</f>
        <v>0</v>
      </c>
      <c r="I23" s="498">
        <f>SUM(I18:I22)</f>
        <v>0</v>
      </c>
      <c r="J23" s="498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903" t="s">
        <v>127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80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ŘEPY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904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82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904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82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904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82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904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96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15"/>
      <c r="F29" s="522">
        <f>SUM(F24:F28)</f>
        <v>0</v>
      </c>
      <c r="G29" s="522">
        <f>SUM(G24:G28)</f>
        <v>0</v>
      </c>
      <c r="H29" s="522">
        <f>SUM(H24:H28)</f>
        <v>0</v>
      </c>
      <c r="I29" s="522">
        <f>SUM(I24:I28)</f>
        <v>0</v>
      </c>
      <c r="J29" s="522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875" t="s">
        <v>131</v>
      </c>
      <c r="E30" s="704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80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KAČEROV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KAČEROV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876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82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876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82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4"/>
      <c r="B33" s="280" t="str">
        <f>IF(F33="","",N33)</f>
        <v/>
      </c>
      <c r="C33" s="885"/>
      <c r="D33" s="876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82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4"/>
      <c r="B34" s="280" t="str">
        <f>IF(F34="","",N34)</f>
        <v/>
      </c>
      <c r="C34" s="885"/>
      <c r="D34" s="877"/>
      <c r="E34" s="717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96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4"/>
      <c r="B35" s="280"/>
      <c r="C35" s="525"/>
      <c r="D35" s="501"/>
      <c r="E35" s="492"/>
      <c r="F35" s="498">
        <f>SUM(F30:F34)</f>
        <v>0</v>
      </c>
      <c r="G35" s="498">
        <f>SUM(G30:G34)</f>
        <v>0</v>
      </c>
      <c r="H35" s="498">
        <f>SUM(H30:H34)</f>
        <v>0</v>
      </c>
      <c r="I35" s="498">
        <f>SUM(I30:I34)</f>
        <v>0</v>
      </c>
      <c r="J35" s="498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4"/>
      <c r="B36" s="280" t="str">
        <f>IF(F36="","",N36)</f>
        <v/>
      </c>
      <c r="C36" s="884">
        <v>6</v>
      </c>
      <c r="D36" s="875" t="s">
        <v>133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80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KAČEROV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4"/>
      <c r="B37" s="280" t="str">
        <f>IF(F37="","",N37)</f>
        <v/>
      </c>
      <c r="C37" s="885"/>
      <c r="D37" s="876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82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4"/>
      <c r="B38" s="280" t="str">
        <f>IF(F38="","",N38)</f>
        <v/>
      </c>
      <c r="C38" s="885"/>
      <c r="D38" s="876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82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4"/>
      <c r="B39" s="280" t="str">
        <f>IF(F39="","",N39)</f>
        <v/>
      </c>
      <c r="C39" s="885"/>
      <c r="D39" s="876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82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4"/>
      <c r="B40" s="280" t="str">
        <f>IF(F40="","",N40)</f>
        <v/>
      </c>
      <c r="C40" s="885"/>
      <c r="D40" s="876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96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4"/>
      <c r="B41" s="504"/>
      <c r="C41" s="524"/>
      <c r="D41" s="519"/>
      <c r="E41" s="515"/>
      <c r="F41" s="522">
        <f>SUM(F36:F40)</f>
        <v>0</v>
      </c>
      <c r="G41" s="522">
        <f>SUM(G36:G40)</f>
        <v>0</v>
      </c>
      <c r="H41" s="522">
        <f>SUM(H36:H40)</f>
        <v>0</v>
      </c>
      <c r="I41" s="522">
        <f>SUM(I36:I40)</f>
        <v>0</v>
      </c>
      <c r="J41" s="522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4"/>
      <c r="B42" s="280" t="str">
        <f>IF(F42="","",N42)</f>
        <v/>
      </c>
      <c r="C42" s="884">
        <v>7</v>
      </c>
      <c r="D42" s="894" t="s">
        <v>134</v>
      </c>
      <c r="E42" s="702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80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HOSTIVAŘ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HOSTIVAŘ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4"/>
      <c r="B43" s="280" t="str">
        <f>IF(F43="","",N43)</f>
        <v/>
      </c>
      <c r="C43" s="885"/>
      <c r="D43" s="895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82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4"/>
      <c r="B44" s="280" t="str">
        <f>IF(F44="","",N44)</f>
        <v/>
      </c>
      <c r="C44" s="885"/>
      <c r="D44" s="895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82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4"/>
      <c r="B45" s="280" t="str">
        <f>IF(F45="","",N45)</f>
        <v/>
      </c>
      <c r="C45" s="885"/>
      <c r="D45" s="895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82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4"/>
      <c r="B46" s="280" t="str">
        <f>IF(F46="","",N46)</f>
        <v/>
      </c>
      <c r="C46" s="885"/>
      <c r="D46" s="896"/>
      <c r="E46" s="703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96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4"/>
      <c r="B47" s="280"/>
      <c r="C47" s="525"/>
      <c r="D47" s="412"/>
      <c r="E47" s="497"/>
      <c r="F47" s="498">
        <f>SUM(F42:F46)</f>
        <v>0</v>
      </c>
      <c r="G47" s="498">
        <f>SUM(G42:G46)</f>
        <v>0</v>
      </c>
      <c r="H47" s="498">
        <f>SUM(H42:H46)</f>
        <v>0</v>
      </c>
      <c r="I47" s="498">
        <f>SUM(I42:I46)</f>
        <v>0</v>
      </c>
      <c r="J47" s="498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4"/>
      <c r="B48" s="280" t="str">
        <f>IF(F48="","",N48)</f>
        <v/>
      </c>
      <c r="C48" s="884">
        <v>8</v>
      </c>
      <c r="D48" s="895" t="s">
        <v>135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80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HOSTIVAŘ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895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82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895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82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895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82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895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96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4"/>
      <c r="E53" s="515"/>
      <c r="F53" s="522">
        <f>SUM(F48:F52)</f>
        <v>0</v>
      </c>
      <c r="G53" s="522">
        <f>SUM(G48:G52)</f>
        <v>0</v>
      </c>
      <c r="H53" s="522">
        <f>SUM(H48:H52)</f>
        <v>0</v>
      </c>
      <c r="I53" s="522">
        <f>SUM(I48:I52)</f>
        <v>0</v>
      </c>
      <c r="J53" s="522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900" t="s">
        <v>136</v>
      </c>
      <c r="E54" s="704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80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VRŠOVICE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VRŠOVICE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901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82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901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82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901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82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902"/>
      <c r="E58" s="703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96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1"/>
      <c r="E59" s="497"/>
      <c r="F59" s="498">
        <f>SUM(F54:F58)</f>
        <v>0</v>
      </c>
      <c r="G59" s="498">
        <f>SUM(G54:G58)</f>
        <v>0</v>
      </c>
      <c r="H59" s="498">
        <f>SUM(H54:H58)</f>
        <v>0</v>
      </c>
      <c r="I59" s="498">
        <f>SUM(I54:I58)</f>
        <v>0</v>
      </c>
      <c r="J59" s="498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900" t="s">
        <v>137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80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VRŠOVICE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901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82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901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82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901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82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901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96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682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680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D3:AN3"/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D12:D16"/>
    <mergeCell ref="R12:R16"/>
    <mergeCell ref="AC17:AD17"/>
    <mergeCell ref="C18:C22"/>
    <mergeCell ref="D18:D22"/>
    <mergeCell ref="R18:R22"/>
    <mergeCell ref="AD18:AD28"/>
    <mergeCell ref="AL6:AN6"/>
    <mergeCell ref="A1:A4"/>
    <mergeCell ref="C5:D5"/>
    <mergeCell ref="N5:O5"/>
    <mergeCell ref="AG5:AI5"/>
    <mergeCell ref="C6:C10"/>
    <mergeCell ref="D6:D10"/>
    <mergeCell ref="R6:R10"/>
    <mergeCell ref="AD6:AD16"/>
    <mergeCell ref="C12:C16"/>
  </mergeCells>
  <conditionalFormatting sqref="AD54 R6 R11:R12 R17:R18 R23:R24 R29:R30 R35:R36 R41:R42 R47:R48 R53:R54 R59:R60 R65 V6:AB6 AD6 V18:AB18 V30:AB30 V42:AB42 V54:AB54 AD18 AD30 AD42 V12:W12 V24:W24 V36:W36 V48:W48 V60:W60">
    <cfRule type="cellIs" dxfId="32" priority="12" stopIfTrue="1" operator="equal">
      <formula>3</formula>
    </cfRule>
    <cfRule type="cellIs" dxfId="31" priority="13" stopIfTrue="1" operator="equal">
      <formula>2</formula>
    </cfRule>
    <cfRule type="cellIs" dxfId="30" priority="14" stopIfTrue="1" operator="equal">
      <formula>1</formula>
    </cfRule>
  </conditionalFormatting>
  <conditionalFormatting sqref="F6:J10 F12:J16 F18:J22 F24:J28 F30:J34 F36:J40 F42:J46 F48:J52 F54:J58 F60:J64">
    <cfRule type="cellIs" dxfId="29" priority="11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theme="1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865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B3" s="504"/>
      <c r="C3" s="568"/>
      <c r="D3" s="866" t="s">
        <v>196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900" t="s">
        <v>136</v>
      </c>
      <c r="E6" s="704"/>
      <c r="F6" s="695"/>
      <c r="G6" s="695"/>
      <c r="H6" s="695"/>
      <c r="I6" s="695"/>
      <c r="J6" s="695"/>
      <c r="K6" s="479">
        <f>SUM(F6:J6)</f>
        <v>0</v>
      </c>
      <c r="L6" s="479">
        <f t="shared" ref="L6:L16" si="0">MAX(F6:J6)</f>
        <v>0</v>
      </c>
      <c r="M6" s="486">
        <f>SUM(K6*1000)+L6+0.5</f>
        <v>0.5</v>
      </c>
      <c r="N6" s="406" t="str">
        <f>IF(F6="","",RANK(M6,M6:M65,0))</f>
        <v/>
      </c>
      <c r="O6" s="479"/>
      <c r="P6" s="487"/>
      <c r="Q6" s="672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VRŠOVICE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VRŠOVICE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901"/>
      <c r="E7" s="703"/>
      <c r="F7" s="696"/>
      <c r="G7" s="696"/>
      <c r="H7" s="696"/>
      <c r="I7" s="696"/>
      <c r="J7" s="696"/>
      <c r="K7" s="481">
        <f>SUM(F7:J7)</f>
        <v>0</v>
      </c>
      <c r="L7" s="477">
        <f t="shared" si="0"/>
        <v>0</v>
      </c>
      <c r="M7" s="478">
        <f>SUM(K7*1000)+L7+0.49</f>
        <v>0.49</v>
      </c>
      <c r="N7" s="407" t="str">
        <f>IF(F7="","",RANK(M7,M6:M65,0))</f>
        <v/>
      </c>
      <c r="O7" s="481"/>
      <c r="P7" s="482"/>
      <c r="Q7" s="673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716" t="s">
        <v>136</v>
      </c>
    </row>
    <row r="8" spans="1:53" ht="15" customHeight="1">
      <c r="A8" s="504"/>
      <c r="B8" s="280" t="str">
        <f>IF(F8="","",N8)</f>
        <v/>
      </c>
      <c r="C8" s="885"/>
      <c r="D8" s="901"/>
      <c r="E8" s="703"/>
      <c r="F8" s="696"/>
      <c r="G8" s="696"/>
      <c r="H8" s="696"/>
      <c r="I8" s="696"/>
      <c r="J8" s="696"/>
      <c r="K8" s="481">
        <f>SUM(F8:J8)</f>
        <v>0</v>
      </c>
      <c r="L8" s="477">
        <f t="shared" si="0"/>
        <v>0</v>
      </c>
      <c r="M8" s="478">
        <f>SUM(K8*1000)+L8+0.48</f>
        <v>0.48</v>
      </c>
      <c r="N8" s="407" t="str">
        <f>IF(F8="","",RANK(M8,M6:M65,0))</f>
        <v/>
      </c>
      <c r="O8" s="481"/>
      <c r="P8" s="482"/>
      <c r="Q8" s="673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713" t="s">
        <v>138</v>
      </c>
    </row>
    <row r="9" spans="1:53" ht="15" customHeight="1">
      <c r="A9" s="504"/>
      <c r="B9" s="280" t="str">
        <f>IF(F9="","",N9)</f>
        <v/>
      </c>
      <c r="C9" s="885"/>
      <c r="D9" s="901"/>
      <c r="E9" s="703"/>
      <c r="F9" s="696"/>
      <c r="G9" s="696"/>
      <c r="H9" s="696"/>
      <c r="I9" s="696"/>
      <c r="J9" s="696"/>
      <c r="K9" s="481">
        <f>SUM(F9:J9)</f>
        <v>0</v>
      </c>
      <c r="L9" s="477">
        <f t="shared" si="0"/>
        <v>0</v>
      </c>
      <c r="M9" s="478">
        <f>SUM(K9*1000)+L9+0.47</f>
        <v>0.47</v>
      </c>
      <c r="N9" s="407" t="str">
        <f>IF(F9="","",RANK(M9,M6:M65,0))</f>
        <v/>
      </c>
      <c r="O9" s="481"/>
      <c r="P9" s="482"/>
      <c r="Q9" s="673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715" t="s">
        <v>124</v>
      </c>
    </row>
    <row r="10" spans="1:53" ht="15" customHeight="1">
      <c r="A10" s="504"/>
      <c r="B10" s="280" t="str">
        <f>IF(F10="","",N10)</f>
        <v/>
      </c>
      <c r="C10" s="886"/>
      <c r="D10" s="902"/>
      <c r="E10" s="703"/>
      <c r="F10" s="697"/>
      <c r="G10" s="697"/>
      <c r="H10" s="697"/>
      <c r="I10" s="697"/>
      <c r="J10" s="697"/>
      <c r="K10" s="488">
        <f>SUM(F10:J10)</f>
        <v>0</v>
      </c>
      <c r="L10" s="484">
        <f t="shared" si="0"/>
        <v>0</v>
      </c>
      <c r="M10" s="489">
        <f>SUM(K10*1000)+L10+0.46</f>
        <v>0.46</v>
      </c>
      <c r="N10" s="408" t="str">
        <f>IF(F10="","",RANK(M10,M6:M65,0))</f>
        <v/>
      </c>
      <c r="O10" s="488"/>
      <c r="P10" s="490"/>
      <c r="Q10" s="687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714" t="s">
        <v>131</v>
      </c>
    </row>
    <row r="11" spans="1:53" ht="15" customHeight="1">
      <c r="A11" s="504"/>
      <c r="B11" s="280"/>
      <c r="C11" s="523"/>
      <c r="D11" s="491"/>
      <c r="E11" s="497"/>
      <c r="F11" s="485">
        <f>SUM(F6:F10)</f>
        <v>0</v>
      </c>
      <c r="G11" s="485">
        <f>SUM(G6:G10)</f>
        <v>0</v>
      </c>
      <c r="H11" s="485">
        <f>SUM(H6:H10)</f>
        <v>0</v>
      </c>
      <c r="I11" s="485">
        <f>SUM(I6:I10)</f>
        <v>0</v>
      </c>
      <c r="J11" s="485">
        <f>SUM(J6:J10)</f>
        <v>0</v>
      </c>
      <c r="K11" s="483"/>
      <c r="L11" s="483">
        <f t="shared" si="0"/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900" t="s">
        <v>137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87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VRŠOVICE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901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82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901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82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901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82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901"/>
      <c r="E16" s="703"/>
      <c r="F16" s="697"/>
      <c r="G16" s="697"/>
      <c r="H16" s="697"/>
      <c r="I16" s="697"/>
      <c r="J16" s="697"/>
      <c r="K16" s="409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96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15"/>
      <c r="F17" s="522">
        <f>SUM(F12:F16)</f>
        <v>0</v>
      </c>
      <c r="G17" s="522">
        <f>SUM(G12:G16)</f>
        <v>0</v>
      </c>
      <c r="H17" s="522">
        <f>SUM(H12:H16)</f>
        <v>0</v>
      </c>
      <c r="I17" s="522">
        <f>SUM(I12:I16)</f>
        <v>0</v>
      </c>
      <c r="J17" s="522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897" t="s">
        <v>138</v>
      </c>
      <c r="E18" s="704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80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KLÍČOV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KLÍČOV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898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82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898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82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898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82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899"/>
      <c r="E22" s="703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96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7"/>
      <c r="F23" s="498">
        <f>SUM(F18:F22)</f>
        <v>0</v>
      </c>
      <c r="G23" s="498">
        <f>SUM(G18:G22)</f>
        <v>0</v>
      </c>
      <c r="H23" s="498">
        <f>SUM(H18:H22)</f>
        <v>0</v>
      </c>
      <c r="I23" s="498">
        <f>SUM(I18:I22)</f>
        <v>0</v>
      </c>
      <c r="J23" s="498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897" t="s">
        <v>139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80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KLÍČOV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898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82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898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82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898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82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898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96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15"/>
      <c r="F29" s="522">
        <f>SUM(F24:F28)</f>
        <v>0</v>
      </c>
      <c r="G29" s="522">
        <f>SUM(G24:G28)</f>
        <v>0</v>
      </c>
      <c r="H29" s="522">
        <f>SUM(H24:H28)</f>
        <v>0</v>
      </c>
      <c r="I29" s="522">
        <f>SUM(I24:I28)</f>
        <v>0</v>
      </c>
      <c r="J29" s="522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903" t="s">
        <v>124</v>
      </c>
      <c r="E30" s="704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80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ŘEPY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ŘEPY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904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82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904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82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4"/>
      <c r="B33" s="280" t="str">
        <f>IF(F33="","",N33)</f>
        <v/>
      </c>
      <c r="C33" s="885"/>
      <c r="D33" s="904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82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4"/>
      <c r="B34" s="280" t="str">
        <f>IF(F34="","",N34)</f>
        <v/>
      </c>
      <c r="C34" s="885"/>
      <c r="D34" s="905"/>
      <c r="E34" s="703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96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4"/>
      <c r="B35" s="280"/>
      <c r="C35" s="525"/>
      <c r="D35" s="500"/>
      <c r="E35" s="497"/>
      <c r="F35" s="498">
        <f>SUM(F30:F34)</f>
        <v>0</v>
      </c>
      <c r="G35" s="498">
        <f>SUM(G30:G34)</f>
        <v>0</v>
      </c>
      <c r="H35" s="498">
        <f>SUM(H30:H34)</f>
        <v>0</v>
      </c>
      <c r="I35" s="498">
        <f>SUM(I30:I34)</f>
        <v>0</v>
      </c>
      <c r="J35" s="498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4"/>
      <c r="B36" s="280" t="str">
        <f>IF(F36="","",N36)</f>
        <v/>
      </c>
      <c r="C36" s="884">
        <v>6</v>
      </c>
      <c r="D36" s="903" t="s">
        <v>127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80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ŘEPY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4"/>
      <c r="B37" s="280" t="str">
        <f>IF(F37="","",N37)</f>
        <v/>
      </c>
      <c r="C37" s="885"/>
      <c r="D37" s="904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82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4"/>
      <c r="B38" s="280" t="str">
        <f>IF(F38="","",N38)</f>
        <v/>
      </c>
      <c r="C38" s="885"/>
      <c r="D38" s="904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82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4"/>
      <c r="B39" s="280" t="str">
        <f>IF(F39="","",N39)</f>
        <v/>
      </c>
      <c r="C39" s="885"/>
      <c r="D39" s="904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82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4"/>
      <c r="B40" s="280" t="str">
        <f>IF(F40="","",N40)</f>
        <v/>
      </c>
      <c r="C40" s="885"/>
      <c r="D40" s="904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96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4"/>
      <c r="B41" s="504"/>
      <c r="C41" s="524"/>
      <c r="D41" s="520"/>
      <c r="E41" s="515"/>
      <c r="F41" s="522">
        <f>SUM(F36:F40)</f>
        <v>0</v>
      </c>
      <c r="G41" s="522">
        <f>SUM(G36:G40)</f>
        <v>0</v>
      </c>
      <c r="H41" s="522">
        <f>SUM(H36:H40)</f>
        <v>0</v>
      </c>
      <c r="I41" s="522">
        <f>SUM(I36:I40)</f>
        <v>0</v>
      </c>
      <c r="J41" s="522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4"/>
      <c r="B42" s="280" t="str">
        <f>IF(F42="","",N42)</f>
        <v/>
      </c>
      <c r="C42" s="884">
        <v>7</v>
      </c>
      <c r="D42" s="875" t="s">
        <v>131</v>
      </c>
      <c r="E42" s="704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80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KAČEROV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KAČEROV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4"/>
      <c r="B43" s="280" t="str">
        <f>IF(F43="","",N43)</f>
        <v/>
      </c>
      <c r="C43" s="885"/>
      <c r="D43" s="876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82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4"/>
      <c r="B44" s="280" t="str">
        <f>IF(F44="","",N44)</f>
        <v/>
      </c>
      <c r="C44" s="885"/>
      <c r="D44" s="876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82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4"/>
      <c r="B45" s="280" t="str">
        <f>IF(F45="","",N45)</f>
        <v/>
      </c>
      <c r="C45" s="885"/>
      <c r="D45" s="876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82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4"/>
      <c r="B46" s="280" t="str">
        <f>IF(F46="","",N46)</f>
        <v/>
      </c>
      <c r="C46" s="885"/>
      <c r="D46" s="877"/>
      <c r="E46" s="717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96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4"/>
      <c r="B47" s="280"/>
      <c r="C47" s="525"/>
      <c r="D47" s="501"/>
      <c r="E47" s="492"/>
      <c r="F47" s="570">
        <f>SUM(F42:F46)</f>
        <v>0</v>
      </c>
      <c r="G47" s="570">
        <f>SUM(G42:G46)</f>
        <v>0</v>
      </c>
      <c r="H47" s="570">
        <f>SUM(H42:H46)</f>
        <v>0</v>
      </c>
      <c r="I47" s="570">
        <f>SUM(I42:I46)</f>
        <v>0</v>
      </c>
      <c r="J47" s="570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4"/>
      <c r="B48" s="280" t="str">
        <f>IF(F48="","",N48)</f>
        <v/>
      </c>
      <c r="C48" s="884">
        <v>8</v>
      </c>
      <c r="D48" s="875" t="s">
        <v>133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80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KAČEROV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876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82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876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82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876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82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876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96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9"/>
      <c r="E53" s="515"/>
      <c r="F53" s="571">
        <f>SUM(F48:F52)</f>
        <v>0</v>
      </c>
      <c r="G53" s="571">
        <f>SUM(G48:G52)</f>
        <v>0</v>
      </c>
      <c r="H53" s="571">
        <f>SUM(H48:H52)</f>
        <v>0</v>
      </c>
      <c r="I53" s="571">
        <f>SUM(I48:I52)</f>
        <v>0</v>
      </c>
      <c r="J53" s="571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894" t="s">
        <v>134</v>
      </c>
      <c r="E54" s="702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80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HOSTIVAŘ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HOSTIVAŘ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895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82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895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82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895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82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896"/>
      <c r="E58" s="703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96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2"/>
      <c r="E59" s="497"/>
      <c r="F59" s="570">
        <f>SUM(F54:F58)</f>
        <v>0</v>
      </c>
      <c r="G59" s="570">
        <f>SUM(G54:G58)</f>
        <v>0</v>
      </c>
      <c r="H59" s="570">
        <f>SUM(H54:H58)</f>
        <v>0</v>
      </c>
      <c r="I59" s="570">
        <f>SUM(I54:I58)</f>
        <v>0</v>
      </c>
      <c r="J59" s="570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895" t="s">
        <v>135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80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HOSTIVAŘ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895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82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895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82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895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82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895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96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682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680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C12:C16"/>
    <mergeCell ref="D12:D16"/>
    <mergeCell ref="R12:R16"/>
    <mergeCell ref="AC17:AD17"/>
    <mergeCell ref="C18:C22"/>
    <mergeCell ref="D18:D22"/>
    <mergeCell ref="R18:R22"/>
    <mergeCell ref="AD18:AD28"/>
    <mergeCell ref="D3:AN3"/>
    <mergeCell ref="A1:A4"/>
    <mergeCell ref="C5:D5"/>
    <mergeCell ref="N5:O5"/>
    <mergeCell ref="AG5:AI5"/>
    <mergeCell ref="C6:C10"/>
    <mergeCell ref="D6:D10"/>
    <mergeCell ref="R6:R10"/>
    <mergeCell ref="AD6:AD16"/>
    <mergeCell ref="AL6:AN6"/>
  </mergeCells>
  <conditionalFormatting sqref="AD54 R6 R11:R12 R17:R18 R23:R24 R29:R30 R35:R36 R41:R42 R47:R48 R53:R54 R59:R60 R65 V6:AB6 AD6 V18:AB18 V30:AB30 V42:AB42 V54:AB54 AD18 AD30 AD42 V12:W12 V24:W24 V36:W36 V48:W48 V60:W60">
    <cfRule type="cellIs" dxfId="28" priority="13" stopIfTrue="1" operator="equal">
      <formula>3</formula>
    </cfRule>
    <cfRule type="cellIs" dxfId="27" priority="14" stopIfTrue="1" operator="equal">
      <formula>2</formula>
    </cfRule>
    <cfRule type="cellIs" dxfId="26" priority="15" stopIfTrue="1" operator="equal">
      <formula>1</formula>
    </cfRule>
  </conditionalFormatting>
  <conditionalFormatting sqref="F12:J16 F18:J22 F24:J28 F30:J34 F36:J40 F42:J46 F48:J52 F54:J58 F60:J64 F6:J10">
    <cfRule type="cellIs" dxfId="25" priority="12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tabColor rgb="FF3366FF"/>
  </sheetPr>
  <dimension ref="A1:BA100"/>
  <sheetViews>
    <sheetView showGridLines="0" showRowColHeaders="0" zoomScaleNormal="100" workbookViewId="0">
      <pane ySplit="5" topLeftCell="A6" activePane="bottomLeft" state="frozen"/>
      <selection pane="bottomLeft" sqref="A1:A4"/>
    </sheetView>
  </sheetViews>
  <sheetFormatPr defaultColWidth="6.7109375" defaultRowHeight="12.75"/>
  <cols>
    <col min="1" max="1" width="3.7109375" customWidth="1"/>
    <col min="2" max="2" width="3.7109375" hidden="1" customWidth="1"/>
    <col min="3" max="3" width="3.7109375" customWidth="1"/>
    <col min="4" max="4" width="4.7109375" customWidth="1"/>
    <col min="5" max="5" width="18.7109375" customWidth="1"/>
    <col min="6" max="10" width="4.7109375" style="1" customWidth="1"/>
    <col min="11" max="11" width="5.28515625" style="1" customWidth="1"/>
    <col min="12" max="12" width="6.7109375" style="1" hidden="1" customWidth="1"/>
    <col min="13" max="13" width="12.7109375" style="1" hidden="1" customWidth="1"/>
    <col min="14" max="14" width="4.7109375" style="1" customWidth="1"/>
    <col min="15" max="15" width="5.28515625" style="1" customWidth="1"/>
    <col min="16" max="16" width="6.7109375" style="1" hidden="1" customWidth="1"/>
    <col min="17" max="17" width="12.7109375" style="1" hidden="1" customWidth="1"/>
    <col min="18" max="18" width="7.7109375" customWidth="1"/>
    <col min="19" max="19" width="2.7109375" hidden="1" customWidth="1"/>
    <col min="20" max="21" width="3.140625" hidden="1" customWidth="1"/>
    <col min="22" max="22" width="13" hidden="1" customWidth="1"/>
    <col min="23" max="23" width="8.7109375" hidden="1" customWidth="1"/>
    <col min="24" max="24" width="18.7109375" hidden="1" customWidth="1"/>
    <col min="25" max="25" width="8.7109375" hidden="1" customWidth="1"/>
    <col min="26" max="26" width="10.7109375" hidden="1" customWidth="1"/>
    <col min="27" max="27" width="12.7109375" hidden="1" customWidth="1"/>
    <col min="28" max="28" width="8.7109375" hidden="1" customWidth="1"/>
    <col min="29" max="29" width="1.7109375" customWidth="1"/>
    <col min="30" max="30" width="6.28515625" customWidth="1"/>
    <col min="31" max="31" width="1.28515625" customWidth="1"/>
    <col min="32" max="32" width="3.7109375" hidden="1" customWidth="1"/>
    <col min="33" max="33" width="3.7109375" customWidth="1"/>
    <col min="34" max="34" width="17.28515625" customWidth="1"/>
    <col min="35" max="35" width="5.28515625" style="1" customWidth="1"/>
    <col min="36" max="36" width="1.28515625" style="1" customWidth="1"/>
    <col min="37" max="37" width="3.7109375" style="1" hidden="1" customWidth="1"/>
    <col min="38" max="38" width="3.28515625" style="1" customWidth="1"/>
    <col min="39" max="39" width="15.7109375" style="1" customWidth="1"/>
    <col min="40" max="40" width="6.7109375" style="1" customWidth="1"/>
    <col min="41" max="41" width="3.7109375" style="1" customWidth="1"/>
    <col min="53" max="53" width="12.7109375" customWidth="1"/>
  </cols>
  <sheetData>
    <row r="1" spans="1:53" ht="12.75" customHeight="1">
      <c r="A1" s="865" t="s">
        <v>114</v>
      </c>
      <c r="B1" s="475"/>
      <c r="C1" s="504"/>
      <c r="D1" s="698"/>
      <c r="E1" s="698"/>
      <c r="F1" s="699"/>
      <c r="G1" s="699"/>
      <c r="H1" s="699"/>
      <c r="I1" s="699"/>
      <c r="J1" s="699"/>
      <c r="K1" s="699"/>
      <c r="L1" s="700"/>
      <c r="M1" s="700"/>
      <c r="N1" s="699"/>
      <c r="O1" s="699"/>
      <c r="P1" s="700"/>
      <c r="Q1" s="700"/>
      <c r="R1" s="698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698"/>
      <c r="AD1" s="698"/>
      <c r="AE1" s="698"/>
      <c r="AF1" s="701"/>
      <c r="AG1" s="698"/>
      <c r="AH1" s="698"/>
      <c r="AI1" s="699"/>
      <c r="AJ1" s="699"/>
      <c r="AK1" s="700"/>
      <c r="AL1" s="699"/>
      <c r="AM1" s="699"/>
      <c r="AN1" s="699"/>
      <c r="AO1" s="505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</row>
    <row r="2" spans="1:53" ht="12.75" customHeight="1">
      <c r="A2" s="865"/>
      <c r="B2" s="504"/>
      <c r="C2" s="504"/>
      <c r="D2" s="698"/>
      <c r="E2" s="698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9"/>
      <c r="AJ2" s="699"/>
      <c r="AK2" s="699"/>
      <c r="AL2" s="699"/>
      <c r="AM2" s="699"/>
      <c r="AN2" s="699"/>
      <c r="AO2" s="505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</row>
    <row r="3" spans="1:53" ht="18">
      <c r="A3" s="865"/>
      <c r="B3" s="504"/>
      <c r="C3" s="568"/>
      <c r="D3" s="866" t="s">
        <v>186</v>
      </c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559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</row>
    <row r="4" spans="1:53">
      <c r="A4" s="865"/>
      <c r="B4" s="504"/>
      <c r="C4" s="504"/>
      <c r="D4" s="504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5"/>
      <c r="AJ4" s="505"/>
      <c r="AK4" s="505"/>
      <c r="AL4" s="505"/>
      <c r="AM4" s="505"/>
      <c r="AN4" s="505"/>
      <c r="AO4" s="505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</row>
    <row r="5" spans="1:53" ht="15" customHeight="1">
      <c r="A5" s="504"/>
      <c r="B5" s="504"/>
      <c r="C5" s="867" t="s">
        <v>81</v>
      </c>
      <c r="D5" s="868"/>
      <c r="E5" s="469" t="s">
        <v>121</v>
      </c>
      <c r="F5" s="470" t="s">
        <v>82</v>
      </c>
      <c r="G5" s="470" t="s">
        <v>83</v>
      </c>
      <c r="H5" s="470" t="s">
        <v>84</v>
      </c>
      <c r="I5" s="470" t="s">
        <v>85</v>
      </c>
      <c r="J5" s="470" t="s">
        <v>86</v>
      </c>
      <c r="K5" s="470" t="s">
        <v>87</v>
      </c>
      <c r="L5" s="448"/>
      <c r="M5" s="448"/>
      <c r="N5" s="869" t="s">
        <v>122</v>
      </c>
      <c r="O5" s="870"/>
      <c r="P5" s="471"/>
      <c r="Q5" s="471"/>
      <c r="R5" s="472" t="s">
        <v>123</v>
      </c>
      <c r="S5" s="550"/>
      <c r="T5" s="551"/>
      <c r="U5" s="551"/>
      <c r="V5" s="551"/>
      <c r="W5" s="551"/>
      <c r="X5" s="504"/>
      <c r="Y5" s="504"/>
      <c r="Z5" s="504"/>
      <c r="AA5" s="504"/>
      <c r="AB5" s="504"/>
      <c r="AC5" s="504"/>
      <c r="AD5" s="504"/>
      <c r="AE5" s="504"/>
      <c r="AF5" s="504"/>
      <c r="AG5" s="913" t="s">
        <v>142</v>
      </c>
      <c r="AH5" s="914"/>
      <c r="AI5" s="915"/>
      <c r="AJ5" s="560"/>
      <c r="AK5" s="560"/>
      <c r="AL5" s="560"/>
      <c r="AM5" s="560"/>
      <c r="AN5" s="560"/>
      <c r="AO5" s="560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</row>
    <row r="6" spans="1:53" ht="15" customHeight="1">
      <c r="A6" s="504"/>
      <c r="B6" s="280" t="str">
        <f>IF(F6="","",N6)</f>
        <v/>
      </c>
      <c r="C6" s="884">
        <v>1</v>
      </c>
      <c r="D6" s="894" t="s">
        <v>134</v>
      </c>
      <c r="E6" s="702"/>
      <c r="F6" s="695"/>
      <c r="G6" s="695"/>
      <c r="H6" s="695"/>
      <c r="I6" s="695"/>
      <c r="J6" s="695"/>
      <c r="K6" s="479">
        <f>SUM(F6:J6)</f>
        <v>0</v>
      </c>
      <c r="L6" s="479">
        <f t="shared" ref="L6:L16" si="0">MAX(F6:J6)</f>
        <v>0</v>
      </c>
      <c r="M6" s="486">
        <f>SUM(K6*1000)+L6+0.5</f>
        <v>0.5</v>
      </c>
      <c r="N6" s="406" t="str">
        <f>IF(F6="","",RANK(M6,M6:M65,0))</f>
        <v/>
      </c>
      <c r="O6" s="479"/>
      <c r="P6" s="487"/>
      <c r="Q6" s="672"/>
      <c r="R6" s="890" t="str">
        <f>IF(F6="","",RANK(Q11,Q11:Q65,0))</f>
        <v/>
      </c>
      <c r="S6" s="537"/>
      <c r="T6" s="543" t="str">
        <f>IF(F6="","",RANK(AA6,AA6:AA64,0))</f>
        <v/>
      </c>
      <c r="U6" s="543" t="str">
        <f>IF(R6="","",R6)</f>
        <v/>
      </c>
      <c r="V6" s="544" t="str">
        <f>IF(D6="","",D6)</f>
        <v>HOSTIVAŘ I.</v>
      </c>
      <c r="W6" s="544">
        <f>IF(O11="","",O11)</f>
        <v>0</v>
      </c>
      <c r="X6" s="544" t="str">
        <f>IF(V6="HOSTIVAŘ I.","GARÁŽ HOSTIVAŘ",IF(V6="VRŠOVICE I.","GARÁŽ VRŠOVICE",IF(V6="KLÍČOV I.","GARÁŽ KLÍČOV",IF(V6="ŘEPY I.","GARÁŽ ŘEPY",IF(V6="KAČEROV I.","GARÁŽ KAČEROV","")))))</f>
        <v>GARÁŽ HOSTIVAŘ</v>
      </c>
      <c r="Y6" s="544">
        <f>MAX(F11:J11,F17:J17)+0.05</f>
        <v>0.05</v>
      </c>
      <c r="Z6" s="544">
        <f>SUM(O11,O17)*1000</f>
        <v>0</v>
      </c>
      <c r="AA6" s="655">
        <f>SUM(Y6:Z6)</f>
        <v>0.05</v>
      </c>
      <c r="AB6" s="545">
        <f>IF(AC17="","",AC17)</f>
        <v>0</v>
      </c>
      <c r="AC6" s="535"/>
      <c r="AD6" s="862" t="str">
        <f>IF(T6="","",T6)</f>
        <v/>
      </c>
      <c r="AE6" s="504"/>
      <c r="AF6" s="280">
        <f>COUNT(F6:F10,F12:F16,F18:F22,F24:F28,F30:F34,F36:F40,F42:F46,F48:F52,F54:F58,F60:F64)</f>
        <v>0</v>
      </c>
      <c r="AG6" s="282">
        <v>1</v>
      </c>
      <c r="AH6" s="281" t="str">
        <f>IF(AF6&lt;1,"",VLOOKUP(1,B6:N65,4,FALSE))</f>
        <v/>
      </c>
      <c r="AI6" s="282" t="str">
        <f>IF(AF6&lt;1,"",VLOOKUP(1,B6:N65,10,FALSE))</f>
        <v/>
      </c>
      <c r="AJ6" s="561"/>
      <c r="AK6" s="7">
        <f>COUNT(U6:U16,U18:U28,U30:U40,U42:U52,U54:U64)</f>
        <v>0</v>
      </c>
      <c r="AL6" s="910" t="s">
        <v>180</v>
      </c>
      <c r="AM6" s="911"/>
      <c r="AN6" s="912"/>
      <c r="AO6" s="561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67" t="s">
        <v>134</v>
      </c>
    </row>
    <row r="7" spans="1:53" ht="15" customHeight="1">
      <c r="A7" s="504"/>
      <c r="B7" s="280" t="str">
        <f>IF(F7="","",N7)</f>
        <v/>
      </c>
      <c r="C7" s="885"/>
      <c r="D7" s="895"/>
      <c r="E7" s="703"/>
      <c r="F7" s="696"/>
      <c r="G7" s="696"/>
      <c r="H7" s="696"/>
      <c r="I7" s="696"/>
      <c r="J7" s="696"/>
      <c r="K7" s="481">
        <f>SUM(F7:J7)</f>
        <v>0</v>
      </c>
      <c r="L7" s="477">
        <f t="shared" si="0"/>
        <v>0</v>
      </c>
      <c r="M7" s="478">
        <f>SUM(K7*1000)+L7+0.49</f>
        <v>0.49</v>
      </c>
      <c r="N7" s="407" t="str">
        <f>IF(F7="","",RANK(M7,M6:M65,0))</f>
        <v/>
      </c>
      <c r="O7" s="481"/>
      <c r="P7" s="482"/>
      <c r="Q7" s="673"/>
      <c r="R7" s="891"/>
      <c r="S7" s="538"/>
      <c r="T7" s="528"/>
      <c r="U7" s="528"/>
      <c r="V7" s="528"/>
      <c r="W7" s="528"/>
      <c r="X7" s="528"/>
      <c r="Y7" s="528"/>
      <c r="Z7" s="528"/>
      <c r="AA7" s="681"/>
      <c r="AB7" s="539"/>
      <c r="AC7" s="532"/>
      <c r="AD7" s="863"/>
      <c r="AE7" s="504"/>
      <c r="AF7" s="504"/>
      <c r="AG7" s="282">
        <f>SUM(AG6+1)</f>
        <v>2</v>
      </c>
      <c r="AH7" s="281" t="str">
        <f>IF(AF6&lt;2,"",VLOOKUP(2,B6:N65,4,FALSE))</f>
        <v/>
      </c>
      <c r="AI7" s="282" t="str">
        <f>IF(AF6&lt;2,"",VLOOKUP(2,B6:N65,10,FALSE))</f>
        <v/>
      </c>
      <c r="AJ7" s="561"/>
      <c r="AK7" s="561"/>
      <c r="AL7" s="476">
        <v>1</v>
      </c>
      <c r="AM7" s="414" t="str">
        <f>IF(AK6&lt;1,"",VLOOKUP(1,U6:W64,2,FALSE))</f>
        <v/>
      </c>
      <c r="AN7" s="562" t="str">
        <f>IF(AK6&lt;1,"",VLOOKUP(1,U6:W64,3,FALSE))</f>
        <v/>
      </c>
      <c r="AO7" s="56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67" t="s">
        <v>136</v>
      </c>
    </row>
    <row r="8" spans="1:53" ht="15" customHeight="1">
      <c r="A8" s="504"/>
      <c r="B8" s="280" t="str">
        <f>IF(F8="","",N8)</f>
        <v/>
      </c>
      <c r="C8" s="885"/>
      <c r="D8" s="895"/>
      <c r="E8" s="703"/>
      <c r="F8" s="696"/>
      <c r="G8" s="696"/>
      <c r="H8" s="696"/>
      <c r="I8" s="696"/>
      <c r="J8" s="696"/>
      <c r="K8" s="481">
        <f>SUM(F8:J8)</f>
        <v>0</v>
      </c>
      <c r="L8" s="477">
        <f t="shared" si="0"/>
        <v>0</v>
      </c>
      <c r="M8" s="478">
        <f>SUM(K8*1000)+L8+0.48</f>
        <v>0.48</v>
      </c>
      <c r="N8" s="407" t="str">
        <f>IF(F8="","",RANK(M8,M6:M65,0))</f>
        <v/>
      </c>
      <c r="O8" s="481"/>
      <c r="P8" s="482"/>
      <c r="Q8" s="673"/>
      <c r="R8" s="891"/>
      <c r="S8" s="538"/>
      <c r="T8" s="528"/>
      <c r="U8" s="528"/>
      <c r="V8" s="528"/>
      <c r="W8" s="528"/>
      <c r="X8" s="528"/>
      <c r="Y8" s="528"/>
      <c r="Z8" s="528"/>
      <c r="AA8" s="681"/>
      <c r="AB8" s="539"/>
      <c r="AC8" s="532"/>
      <c r="AD8" s="863"/>
      <c r="AE8" s="504"/>
      <c r="AF8" s="504"/>
      <c r="AG8" s="282">
        <f t="shared" ref="AG8:AG55" si="1">SUM(AG7+1)</f>
        <v>3</v>
      </c>
      <c r="AH8" s="281" t="str">
        <f>IF(AF6&lt;3,"",VLOOKUP(3,B6:N65,4,FALSE))</f>
        <v/>
      </c>
      <c r="AI8" s="282" t="str">
        <f>IF(AF6&lt;3,"",VLOOKUP(3,B6:N65,10,FALSE))</f>
        <v/>
      </c>
      <c r="AJ8" s="561"/>
      <c r="AK8" s="561"/>
      <c r="AL8" s="476">
        <v>2</v>
      </c>
      <c r="AM8" s="414" t="str">
        <f>IF(AK6&lt;2,"",VLOOKUP(2,U6:W64,2,FALSE))</f>
        <v/>
      </c>
      <c r="AN8" s="563" t="str">
        <f>IF(AK6&lt;2,"",VLOOKUP(2,U6:W64,3,FALSE))</f>
        <v/>
      </c>
      <c r="AO8" s="561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67" t="s">
        <v>138</v>
      </c>
    </row>
    <row r="9" spans="1:53" ht="15" customHeight="1">
      <c r="A9" s="504"/>
      <c r="B9" s="280" t="str">
        <f>IF(F9="","",N9)</f>
        <v/>
      </c>
      <c r="C9" s="885"/>
      <c r="D9" s="895"/>
      <c r="E9" s="703"/>
      <c r="F9" s="696"/>
      <c r="G9" s="696"/>
      <c r="H9" s="696"/>
      <c r="I9" s="696"/>
      <c r="J9" s="696"/>
      <c r="K9" s="481">
        <f>SUM(F9:J9)</f>
        <v>0</v>
      </c>
      <c r="L9" s="477">
        <f t="shared" si="0"/>
        <v>0</v>
      </c>
      <c r="M9" s="478">
        <f>SUM(K9*1000)+L9+0.47</f>
        <v>0.47</v>
      </c>
      <c r="N9" s="407" t="str">
        <f>IF(F9="","",RANK(M9,M6:M65,0))</f>
        <v/>
      </c>
      <c r="O9" s="481"/>
      <c r="P9" s="482"/>
      <c r="Q9" s="673"/>
      <c r="R9" s="891"/>
      <c r="S9" s="538"/>
      <c r="T9" s="528"/>
      <c r="U9" s="528"/>
      <c r="V9" s="528"/>
      <c r="W9" s="528"/>
      <c r="X9" s="528"/>
      <c r="Y9" s="528"/>
      <c r="Z9" s="528"/>
      <c r="AA9" s="681"/>
      <c r="AB9" s="539"/>
      <c r="AC9" s="532"/>
      <c r="AD9" s="863"/>
      <c r="AE9" s="504"/>
      <c r="AF9" s="504"/>
      <c r="AG9" s="282">
        <f t="shared" si="1"/>
        <v>4</v>
      </c>
      <c r="AH9" s="281" t="str">
        <f>IF(AF6&lt;4,"",VLOOKUP(4,B6:N65,4,FALSE))</f>
        <v/>
      </c>
      <c r="AI9" s="282" t="str">
        <f>IF(AF6&lt;4,"",VLOOKUP(4,B6:N65,10,FALSE))</f>
        <v/>
      </c>
      <c r="AJ9" s="561"/>
      <c r="AK9" s="561"/>
      <c r="AL9" s="476">
        <v>3</v>
      </c>
      <c r="AM9" s="414" t="str">
        <f>IF(AK6&lt;3,"",VLOOKUP(3,U6:W64,2,FALSE))</f>
        <v/>
      </c>
      <c r="AN9" s="562" t="str">
        <f>IF(AK6&lt;3,"",VLOOKUP(3,U6:W64,3,FALSE))</f>
        <v/>
      </c>
      <c r="AO9" s="561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67" t="s">
        <v>124</v>
      </c>
    </row>
    <row r="10" spans="1:53" ht="15" customHeight="1">
      <c r="A10" s="504"/>
      <c r="B10" s="280" t="str">
        <f>IF(F10="","",N10)</f>
        <v/>
      </c>
      <c r="C10" s="886"/>
      <c r="D10" s="896"/>
      <c r="E10" s="703"/>
      <c r="F10" s="697"/>
      <c r="G10" s="697"/>
      <c r="H10" s="697"/>
      <c r="I10" s="697"/>
      <c r="J10" s="697"/>
      <c r="K10" s="488">
        <f>SUM(F10:J10)</f>
        <v>0</v>
      </c>
      <c r="L10" s="484">
        <f t="shared" si="0"/>
        <v>0</v>
      </c>
      <c r="M10" s="489">
        <f>SUM(K10*1000)+L10+0.46</f>
        <v>0.46</v>
      </c>
      <c r="N10" s="408" t="str">
        <f>IF(F10="","",RANK(M10,M6:M65,0))</f>
        <v/>
      </c>
      <c r="O10" s="488"/>
      <c r="P10" s="490"/>
      <c r="Q10" s="687"/>
      <c r="R10" s="892"/>
      <c r="S10" s="540"/>
      <c r="T10" s="529"/>
      <c r="U10" s="529"/>
      <c r="V10" s="529"/>
      <c r="W10" s="529"/>
      <c r="X10" s="529"/>
      <c r="Y10" s="529"/>
      <c r="Z10" s="529"/>
      <c r="AA10" s="682"/>
      <c r="AB10" s="541"/>
      <c r="AC10" s="532"/>
      <c r="AD10" s="863"/>
      <c r="AE10" s="504"/>
      <c r="AF10" s="504"/>
      <c r="AG10" s="282">
        <f t="shared" si="1"/>
        <v>5</v>
      </c>
      <c r="AH10" s="281" t="str">
        <f>IF(AF6&lt;5,"",VLOOKUP(5,B6:N65,4,FALSE))</f>
        <v/>
      </c>
      <c r="AI10" s="282" t="str">
        <f>IF(AF6&lt;5,"",VLOOKUP(5,B6:N65,10,FALSE))</f>
        <v/>
      </c>
      <c r="AJ10" s="561"/>
      <c r="AK10" s="561"/>
      <c r="AL10" s="476">
        <v>4</v>
      </c>
      <c r="AM10" s="564" t="str">
        <f>IF(AK6&lt;4,"",VLOOKUP(4,U6:W64,2,FALSE))</f>
        <v/>
      </c>
      <c r="AN10" s="563" t="str">
        <f>IF(AK6&lt;4,"",VLOOKUP(4,U6:W64,3,FALSE))</f>
        <v/>
      </c>
      <c r="AO10" s="561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67" t="s">
        <v>131</v>
      </c>
    </row>
    <row r="11" spans="1:53" ht="15" customHeight="1">
      <c r="A11" s="504"/>
      <c r="B11" s="280"/>
      <c r="C11" s="523"/>
      <c r="D11" s="491"/>
      <c r="E11" s="497"/>
      <c r="F11" s="485">
        <f>SUM(F6:F10)</f>
        <v>0</v>
      </c>
      <c r="G11" s="485">
        <f>SUM(G6:G10)</f>
        <v>0</v>
      </c>
      <c r="H11" s="485">
        <f>SUM(H6:H10)</f>
        <v>0</v>
      </c>
      <c r="I11" s="485">
        <f>SUM(I6:I10)</f>
        <v>0</v>
      </c>
      <c r="J11" s="485">
        <f>SUM(J6:J10)</f>
        <v>0</v>
      </c>
      <c r="K11" s="483"/>
      <c r="L11" s="483">
        <f t="shared" si="0"/>
        <v>0</v>
      </c>
      <c r="M11" s="483"/>
      <c r="N11" s="483"/>
      <c r="O11" s="483">
        <f>SUM(F11:J11)</f>
        <v>0</v>
      </c>
      <c r="P11" s="483">
        <f>MAX(F11:J11)+0.01</f>
        <v>0.01</v>
      </c>
      <c r="Q11" s="671" t="str">
        <f>IF(F6="","",SUM(O11*1000)+P11)</f>
        <v/>
      </c>
      <c r="R11" s="531"/>
      <c r="S11" s="530"/>
      <c r="T11" s="530"/>
      <c r="U11" s="530"/>
      <c r="V11" s="530"/>
      <c r="W11" s="530"/>
      <c r="X11" s="530"/>
      <c r="Y11" s="530"/>
      <c r="Z11" s="530"/>
      <c r="AA11" s="683"/>
      <c r="AB11" s="549"/>
      <c r="AC11" s="532"/>
      <c r="AD11" s="863"/>
      <c r="AE11" s="504"/>
      <c r="AF11" s="504"/>
      <c r="AG11" s="282">
        <f t="shared" si="1"/>
        <v>6</v>
      </c>
      <c r="AH11" s="281" t="str">
        <f>IF(AF6&lt;6,"",VLOOKUP(6,B6:N65,4,FALSE))</f>
        <v/>
      </c>
      <c r="AI11" s="282" t="str">
        <f>IF(AF6&lt;6,"",VLOOKUP(6,B6:N65,10,FALSE))</f>
        <v/>
      </c>
      <c r="AJ11" s="561"/>
      <c r="AK11" s="561"/>
      <c r="AL11" s="476">
        <v>5</v>
      </c>
      <c r="AM11" s="564" t="str">
        <f>IF(AK6&lt;5,"",VLOOKUP(5,U6:W64,2,FALSE))</f>
        <v/>
      </c>
      <c r="AN11" s="562" t="str">
        <f>IF(AK6&lt;5,"",VLOOKUP(5,U6:W64,3,FALSE))</f>
        <v/>
      </c>
      <c r="AO11" s="561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</row>
    <row r="12" spans="1:53" ht="15" customHeight="1">
      <c r="A12" s="504"/>
      <c r="B12" s="280" t="str">
        <f>IF(F12="","",N12)</f>
        <v/>
      </c>
      <c r="C12" s="884">
        <v>2</v>
      </c>
      <c r="D12" s="894" t="s">
        <v>135</v>
      </c>
      <c r="E12" s="704"/>
      <c r="F12" s="695"/>
      <c r="G12" s="695"/>
      <c r="H12" s="695"/>
      <c r="I12" s="695"/>
      <c r="J12" s="695"/>
      <c r="K12" s="479">
        <f>SUM(F12:J12)</f>
        <v>0</v>
      </c>
      <c r="L12" s="479">
        <f t="shared" si="0"/>
        <v>0</v>
      </c>
      <c r="M12" s="486">
        <f>SUM(K12*1000)+L12+0.45</f>
        <v>0.45</v>
      </c>
      <c r="N12" s="479" t="str">
        <f>IF(F12="","",RANK(M12,M6:M65,0))</f>
        <v/>
      </c>
      <c r="O12" s="479"/>
      <c r="P12" s="487"/>
      <c r="Q12" s="672"/>
      <c r="R12" s="890" t="str">
        <f>IF(F12="","",RANK(Q17,Q11:Q65,0))</f>
        <v/>
      </c>
      <c r="S12" s="537"/>
      <c r="T12" s="527"/>
      <c r="U12" s="543" t="str">
        <f>IF(R12="","",R12)</f>
        <v/>
      </c>
      <c r="V12" s="544" t="str">
        <f>IF(D12="","",D12)</f>
        <v>HOSTIVAŘ II.</v>
      </c>
      <c r="W12" s="547">
        <f>IF(O17="","",O17)</f>
        <v>0</v>
      </c>
      <c r="X12" s="527"/>
      <c r="Y12" s="527"/>
      <c r="Z12" s="527"/>
      <c r="AA12" s="684"/>
      <c r="AB12" s="548"/>
      <c r="AC12" s="532"/>
      <c r="AD12" s="863"/>
      <c r="AE12" s="504"/>
      <c r="AF12" s="504"/>
      <c r="AG12" s="282">
        <f t="shared" si="1"/>
        <v>7</v>
      </c>
      <c r="AH12" s="281" t="str">
        <f>IF(AF6&lt;7,"",VLOOKUP(7,B6:N65,4,FALSE))</f>
        <v/>
      </c>
      <c r="AI12" s="282" t="str">
        <f>IF(AF6&lt;7,"",VLOOKUP(7,B6:N65,10,FALSE))</f>
        <v/>
      </c>
      <c r="AJ12" s="561"/>
      <c r="AK12" s="561"/>
      <c r="AL12" s="476">
        <v>6</v>
      </c>
      <c r="AM12" s="564" t="str">
        <f>IF(AK6&lt;6,"",VLOOKUP(6,U6:W64,2,FALSE))</f>
        <v/>
      </c>
      <c r="AN12" s="563" t="str">
        <f>IF(AK6&lt;6,"",VLOOKUP(6,U6:W64,3,FALSE))</f>
        <v/>
      </c>
      <c r="AO12" s="561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</row>
    <row r="13" spans="1:53" ht="15" customHeight="1">
      <c r="A13" s="504"/>
      <c r="B13" s="280" t="str">
        <f>IF(F13="","",N13)</f>
        <v/>
      </c>
      <c r="C13" s="885"/>
      <c r="D13" s="895"/>
      <c r="E13" s="703"/>
      <c r="F13" s="696"/>
      <c r="G13" s="696"/>
      <c r="H13" s="696"/>
      <c r="I13" s="696"/>
      <c r="J13" s="696"/>
      <c r="K13" s="481">
        <f>SUM(F13:J13)</f>
        <v>0</v>
      </c>
      <c r="L13" s="477">
        <f t="shared" si="0"/>
        <v>0</v>
      </c>
      <c r="M13" s="478">
        <f>SUM(K13*1000)+L13+0.44</f>
        <v>0.44</v>
      </c>
      <c r="N13" s="481" t="str">
        <f>IF(F13="","",RANK(M13,M6:M65,0))</f>
        <v/>
      </c>
      <c r="O13" s="481"/>
      <c r="P13" s="482"/>
      <c r="Q13" s="673"/>
      <c r="R13" s="891"/>
      <c r="S13" s="538"/>
      <c r="T13" s="528"/>
      <c r="U13" s="528"/>
      <c r="V13" s="528"/>
      <c r="W13" s="528"/>
      <c r="X13" s="528"/>
      <c r="Y13" s="528"/>
      <c r="Z13" s="528"/>
      <c r="AA13" s="681"/>
      <c r="AB13" s="539"/>
      <c r="AC13" s="532"/>
      <c r="AD13" s="863"/>
      <c r="AE13" s="504"/>
      <c r="AF13" s="504"/>
      <c r="AG13" s="282">
        <f t="shared" si="1"/>
        <v>8</v>
      </c>
      <c r="AH13" s="281" t="str">
        <f>IF(AF6&lt;8,"",VLOOKUP(8,B6:N65,4,FALSE))</f>
        <v/>
      </c>
      <c r="AI13" s="282" t="str">
        <f>IF(AF6&lt;8,"",VLOOKUP(8,B6:N65,10,FALSE))</f>
        <v/>
      </c>
      <c r="AJ13" s="561"/>
      <c r="AK13" s="561"/>
      <c r="AL13" s="476">
        <v>7</v>
      </c>
      <c r="AM13" s="564" t="str">
        <f>IF(AK6&lt;7,"",VLOOKUP(7,U6:W64,2,FALSE))</f>
        <v/>
      </c>
      <c r="AN13" s="562" t="str">
        <f>IF(AK6&lt;7,"",VLOOKUP(7,U6:W64,3,FALSE))</f>
        <v/>
      </c>
      <c r="AO13" s="561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</row>
    <row r="14" spans="1:53" ht="15" customHeight="1">
      <c r="A14" s="504"/>
      <c r="B14" s="280" t="str">
        <f>IF(F14="","",N14)</f>
        <v/>
      </c>
      <c r="C14" s="885"/>
      <c r="D14" s="895"/>
      <c r="E14" s="703"/>
      <c r="F14" s="696"/>
      <c r="G14" s="696"/>
      <c r="H14" s="696"/>
      <c r="I14" s="696"/>
      <c r="J14" s="696"/>
      <c r="K14" s="481">
        <f>SUM(F14:J14)</f>
        <v>0</v>
      </c>
      <c r="L14" s="477">
        <f t="shared" si="0"/>
        <v>0</v>
      </c>
      <c r="M14" s="478">
        <f>SUM(K14*1000)+L14+0.43</f>
        <v>0.43</v>
      </c>
      <c r="N14" s="481" t="str">
        <f>IF(F14="","",RANK(M14,M6:M65,0))</f>
        <v/>
      </c>
      <c r="O14" s="481"/>
      <c r="P14" s="482"/>
      <c r="Q14" s="673"/>
      <c r="R14" s="891"/>
      <c r="S14" s="538"/>
      <c r="T14" s="528"/>
      <c r="U14" s="528"/>
      <c r="V14" s="528"/>
      <c r="W14" s="528"/>
      <c r="X14" s="528"/>
      <c r="Y14" s="528"/>
      <c r="Z14" s="528"/>
      <c r="AA14" s="681"/>
      <c r="AB14" s="539"/>
      <c r="AC14" s="532"/>
      <c r="AD14" s="863"/>
      <c r="AE14" s="504"/>
      <c r="AF14" s="504"/>
      <c r="AG14" s="282">
        <f t="shared" si="1"/>
        <v>9</v>
      </c>
      <c r="AH14" s="281" t="str">
        <f>IF(AF6&lt;9,"",VLOOKUP(9,B6:N65,4,FALSE))</f>
        <v/>
      </c>
      <c r="AI14" s="282" t="str">
        <f>IF(AF6&lt;9,"",VLOOKUP(9,B6:N65,10,FALSE))</f>
        <v/>
      </c>
      <c r="AJ14" s="561"/>
      <c r="AK14" s="561"/>
      <c r="AL14" s="476">
        <v>8</v>
      </c>
      <c r="AM14" s="564" t="str">
        <f>IF(AK6&lt;8,"",VLOOKUP(8,U6:W64,2,FALSE))</f>
        <v/>
      </c>
      <c r="AN14" s="563" t="str">
        <f>IF(AK6&lt;8,"",VLOOKUP(8,U6:W64,3,FALSE))</f>
        <v/>
      </c>
      <c r="AO14" s="561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</row>
    <row r="15" spans="1:53" ht="15" customHeight="1">
      <c r="A15" s="504"/>
      <c r="B15" s="280" t="str">
        <f>IF(F15="","",N15)</f>
        <v/>
      </c>
      <c r="C15" s="885"/>
      <c r="D15" s="895"/>
      <c r="E15" s="703"/>
      <c r="F15" s="696"/>
      <c r="G15" s="696"/>
      <c r="H15" s="696"/>
      <c r="I15" s="696"/>
      <c r="J15" s="696"/>
      <c r="K15" s="481">
        <f>SUM(F15:J15)</f>
        <v>0</v>
      </c>
      <c r="L15" s="477">
        <f t="shared" si="0"/>
        <v>0</v>
      </c>
      <c r="M15" s="478">
        <f>SUM(K15*1000)+L15+0.42</f>
        <v>0.42</v>
      </c>
      <c r="N15" s="481" t="str">
        <f>IF(F15="","",RANK(M15,M6:M65,0))</f>
        <v/>
      </c>
      <c r="O15" s="481"/>
      <c r="P15" s="482"/>
      <c r="Q15" s="673"/>
      <c r="R15" s="891"/>
      <c r="S15" s="538"/>
      <c r="T15" s="528"/>
      <c r="U15" s="528"/>
      <c r="V15" s="528"/>
      <c r="W15" s="528"/>
      <c r="X15" s="528"/>
      <c r="Y15" s="528"/>
      <c r="Z15" s="528"/>
      <c r="AA15" s="681"/>
      <c r="AB15" s="539"/>
      <c r="AC15" s="532"/>
      <c r="AD15" s="863"/>
      <c r="AE15" s="504"/>
      <c r="AF15" s="504"/>
      <c r="AG15" s="282">
        <f t="shared" si="1"/>
        <v>10</v>
      </c>
      <c r="AH15" s="283" t="str">
        <f>IF(AF6&lt;10,"",VLOOKUP(10,B6:N65,4,FALSE))</f>
        <v/>
      </c>
      <c r="AI15" s="282" t="str">
        <f>IF(AF6&lt;10,"",VLOOKUP(10,B6:N65,10,FALSE))</f>
        <v/>
      </c>
      <c r="AJ15" s="561"/>
      <c r="AK15" s="561"/>
      <c r="AL15" s="476">
        <v>9</v>
      </c>
      <c r="AM15" s="564" t="str">
        <f>IF(AK6&lt;9,"",VLOOKUP(9,U6:W64,2,FALSE))</f>
        <v/>
      </c>
      <c r="AN15" s="562" t="str">
        <f>IF(AK6&lt;9,"",VLOOKUP(9,U6:W64,3,FALSE))</f>
        <v/>
      </c>
      <c r="AO15" s="561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</row>
    <row r="16" spans="1:53" ht="15" customHeight="1">
      <c r="A16" s="504"/>
      <c r="B16" s="280" t="str">
        <f>IF(F16="","",N16)</f>
        <v/>
      </c>
      <c r="C16" s="885"/>
      <c r="D16" s="896"/>
      <c r="E16" s="703"/>
      <c r="F16" s="697"/>
      <c r="G16" s="697"/>
      <c r="H16" s="697"/>
      <c r="I16" s="697"/>
      <c r="J16" s="697"/>
      <c r="K16" s="409">
        <f>SUM(F16:J16)</f>
        <v>0</v>
      </c>
      <c r="L16" s="493">
        <f t="shared" si="0"/>
        <v>0</v>
      </c>
      <c r="M16" s="494">
        <f>SUM(K16*1000)+L16+0.41</f>
        <v>0.41</v>
      </c>
      <c r="N16" s="495" t="str">
        <f>IF(F16="","",RANK(M16,M6:M65,0))</f>
        <v/>
      </c>
      <c r="O16" s="495"/>
      <c r="P16" s="496"/>
      <c r="Q16" s="674"/>
      <c r="R16" s="892"/>
      <c r="S16" s="540"/>
      <c r="T16" s="529"/>
      <c r="U16" s="529"/>
      <c r="V16" s="529"/>
      <c r="W16" s="529"/>
      <c r="X16" s="529"/>
      <c r="Y16" s="529"/>
      <c r="Z16" s="529"/>
      <c r="AA16" s="682"/>
      <c r="AB16" s="541"/>
      <c r="AC16" s="536"/>
      <c r="AD16" s="864"/>
      <c r="AE16" s="504"/>
      <c r="AF16" s="504"/>
      <c r="AG16" s="282">
        <f t="shared" si="1"/>
        <v>11</v>
      </c>
      <c r="AH16" s="283" t="str">
        <f>IF(AF6&lt;11,"",VLOOKUP(11,B6:N65,4,FALSE))</f>
        <v/>
      </c>
      <c r="AI16" s="282" t="str">
        <f>IF(AF6&lt;11,"",VLOOKUP(11,B6:N65,10,FALSE))</f>
        <v/>
      </c>
      <c r="AJ16" s="561"/>
      <c r="AK16" s="561"/>
      <c r="AL16" s="476">
        <v>10</v>
      </c>
      <c r="AM16" s="564" t="str">
        <f>IF(AK6&lt;10,"",VLOOKUP(10,U6:W64,2,FALSE))</f>
        <v/>
      </c>
      <c r="AN16" s="563" t="str">
        <f>IF(AK6&lt;10,"",VLOOKUP(10,U6:W64,3,FALSE))</f>
        <v/>
      </c>
      <c r="AO16" s="561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</row>
    <row r="17" spans="1:52" ht="15" customHeight="1">
      <c r="A17" s="504"/>
      <c r="B17" s="504"/>
      <c r="C17" s="524"/>
      <c r="D17" s="521"/>
      <c r="E17" s="515"/>
      <c r="F17" s="522">
        <f>SUM(F12:F16)</f>
        <v>0</v>
      </c>
      <c r="G17" s="522">
        <f>SUM(G12:G16)</f>
        <v>0</v>
      </c>
      <c r="H17" s="522">
        <f>SUM(H12:H16)</f>
        <v>0</v>
      </c>
      <c r="I17" s="522">
        <f>SUM(I12:I16)</f>
        <v>0</v>
      </c>
      <c r="J17" s="522">
        <f>SUM(J12:J16)</f>
        <v>0</v>
      </c>
      <c r="K17" s="522"/>
      <c r="L17" s="522"/>
      <c r="M17" s="522"/>
      <c r="N17" s="516"/>
      <c r="O17" s="516">
        <f>SUM(F17:J17)</f>
        <v>0</v>
      </c>
      <c r="P17" s="516">
        <f>MAX(F17:J17)+0.009</f>
        <v>8.9999999999999993E-3</v>
      </c>
      <c r="Q17" s="675" t="str">
        <f>IF(F12="","",SUM(O17*1000)+P17)</f>
        <v/>
      </c>
      <c r="R17" s="518"/>
      <c r="S17" s="556"/>
      <c r="T17" s="556"/>
      <c r="U17" s="556"/>
      <c r="V17" s="556"/>
      <c r="W17" s="556"/>
      <c r="X17" s="556"/>
      <c r="Y17" s="556"/>
      <c r="Z17" s="556"/>
      <c r="AA17" s="688"/>
      <c r="AB17" s="556"/>
      <c r="AC17" s="893">
        <f>SUM(O11,O17)</f>
        <v>0</v>
      </c>
      <c r="AD17" s="893"/>
      <c r="AE17" s="504"/>
      <c r="AF17" s="504"/>
      <c r="AG17" s="282">
        <f t="shared" si="1"/>
        <v>12</v>
      </c>
      <c r="AH17" s="283" t="str">
        <f>IF(AF6&lt;12,"",VLOOKUP(12,B6:N65,4,FALSE))</f>
        <v/>
      </c>
      <c r="AI17" s="282" t="str">
        <f>IF(AF6&lt;12,"",VLOOKUP(12,B6:N65,10,FALSE))</f>
        <v/>
      </c>
      <c r="AJ17" s="561"/>
      <c r="AK17" s="561"/>
      <c r="AL17" s="561"/>
      <c r="AM17" s="561"/>
      <c r="AN17" s="561"/>
      <c r="AO17" s="561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 ht="15" customHeight="1">
      <c r="A18" s="504"/>
      <c r="B18" s="280" t="str">
        <f>IF(F18="","",N18)</f>
        <v/>
      </c>
      <c r="C18" s="884">
        <v>3</v>
      </c>
      <c r="D18" s="900" t="s">
        <v>136</v>
      </c>
      <c r="E18" s="704"/>
      <c r="F18" s="695"/>
      <c r="G18" s="695"/>
      <c r="H18" s="695"/>
      <c r="I18" s="695"/>
      <c r="J18" s="695"/>
      <c r="K18" s="477">
        <f>SUM(F18:J18)</f>
        <v>0</v>
      </c>
      <c r="L18" s="477">
        <f>MAX(F18:J18)</f>
        <v>0</v>
      </c>
      <c r="M18" s="478">
        <f>SUM(K18*1000)+L18+0.4</f>
        <v>0.4</v>
      </c>
      <c r="N18" s="410" t="str">
        <f>IF(F18="","",RANK(M18,M6:M65,0))</f>
        <v/>
      </c>
      <c r="O18" s="477"/>
      <c r="P18" s="480"/>
      <c r="Q18" s="676"/>
      <c r="R18" s="890" t="str">
        <f>IF(F18="","",RANK(Q23,Q11:Q65,0))</f>
        <v/>
      </c>
      <c r="S18" s="537"/>
      <c r="T18" s="543" t="str">
        <f>IF(F18="","",RANK(AA18,AA6:AA64,0))</f>
        <v/>
      </c>
      <c r="U18" s="543" t="str">
        <f>IF(R18="","",R18)</f>
        <v/>
      </c>
      <c r="V18" s="544" t="str">
        <f>IF(D18="","",D18)</f>
        <v>VRŠOVICE I.</v>
      </c>
      <c r="W18" s="544">
        <f>IF(O23="","",O23)</f>
        <v>0</v>
      </c>
      <c r="X18" s="544" t="str">
        <f>IF(V18="HOSTIVAŘ I.","GARÁŽ HOSTIVAŘ",IF(V18="VRŠOVICE I.","GARÁŽ VRŠOVICE",IF(V18="KLÍČOV I.","GARÁŽ KLÍČOV",IF(V18="ŘEPY I.","GARÁŽ ŘEPY",IF(V18="KAČEROV I.","GARÁŽ KAČEROV","")))))</f>
        <v>GARÁŽ VRŠOVICE</v>
      </c>
      <c r="Y18" s="544">
        <f>MAX(F23:J23,F29:J29)+0.04</f>
        <v>0.04</v>
      </c>
      <c r="Z18" s="544">
        <f>SUM(O23,O29)*1000</f>
        <v>0</v>
      </c>
      <c r="AA18" s="655">
        <f>SUM(Y18:Z18)</f>
        <v>0.04</v>
      </c>
      <c r="AB18" s="557">
        <f>IF(AC29="","",AC29)</f>
        <v>0</v>
      </c>
      <c r="AC18" s="554"/>
      <c r="AD18" s="862" t="str">
        <f>IF(T18="","",T18)</f>
        <v/>
      </c>
      <c r="AE18" s="504"/>
      <c r="AF18" s="504"/>
      <c r="AG18" s="282">
        <f t="shared" si="1"/>
        <v>13</v>
      </c>
      <c r="AH18" s="283" t="str">
        <f>IF(AF6&lt;13,"",VLOOKUP(13,B6:N65,4,FALSE))</f>
        <v/>
      </c>
      <c r="AI18" s="282" t="str">
        <f>IF(AF6&lt;13,"",VLOOKUP(13,B6:N65,10,FALSE))</f>
        <v/>
      </c>
      <c r="AJ18" s="561"/>
      <c r="AK18" s="7">
        <f>COUNT(T6:T64)</f>
        <v>0</v>
      </c>
      <c r="AL18" s="859" t="s">
        <v>181</v>
      </c>
      <c r="AM18" s="860"/>
      <c r="AN18" s="861"/>
      <c r="AO18" s="561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 ht="15" customHeight="1">
      <c r="A19" s="504"/>
      <c r="B19" s="280" t="str">
        <f>IF(F19="","",N19)</f>
        <v/>
      </c>
      <c r="C19" s="885"/>
      <c r="D19" s="901"/>
      <c r="E19" s="703"/>
      <c r="F19" s="696"/>
      <c r="G19" s="696"/>
      <c r="H19" s="696"/>
      <c r="I19" s="696"/>
      <c r="J19" s="696"/>
      <c r="K19" s="481">
        <f>SUM(F19:J19)</f>
        <v>0</v>
      </c>
      <c r="L19" s="477">
        <f>MAX(F19:J19)</f>
        <v>0</v>
      </c>
      <c r="M19" s="478">
        <f>SUM(K19*1000)+L19+0.39</f>
        <v>0.39</v>
      </c>
      <c r="N19" s="407" t="str">
        <f>IF(F19="","",RANK(M19,M6:M65,0))</f>
        <v/>
      </c>
      <c r="O19" s="481"/>
      <c r="P19" s="482"/>
      <c r="Q19" s="677"/>
      <c r="R19" s="891"/>
      <c r="S19" s="538"/>
      <c r="T19" s="528"/>
      <c r="U19" s="528"/>
      <c r="V19" s="528"/>
      <c r="W19" s="528"/>
      <c r="X19" s="528"/>
      <c r="Y19" s="528"/>
      <c r="Z19" s="528"/>
      <c r="AA19" s="681"/>
      <c r="AB19" s="533"/>
      <c r="AC19" s="555"/>
      <c r="AD19" s="863"/>
      <c r="AE19" s="504"/>
      <c r="AF19" s="504"/>
      <c r="AG19" s="282">
        <f t="shared" si="1"/>
        <v>14</v>
      </c>
      <c r="AH19" s="283" t="str">
        <f>IF(AF6&lt;14,"",VLOOKUP(14,B6:N65,4,FALSE))</f>
        <v/>
      </c>
      <c r="AI19" s="282" t="str">
        <f>IF(AF6&lt;14,"",VLOOKUP(14,B6:N65,10,FALSE))</f>
        <v/>
      </c>
      <c r="AJ19" s="561"/>
      <c r="AK19" s="561"/>
      <c r="AL19" s="476">
        <v>1</v>
      </c>
      <c r="AM19" s="473" t="str">
        <f>IF(AK18&lt;1,"",VLOOKUP(1,T6:AB64,5,FALSE))</f>
        <v/>
      </c>
      <c r="AN19" s="413" t="str">
        <f>IF(AK18&lt;1,"",VLOOKUP(1,T6:AB64,9,FALSE))</f>
        <v/>
      </c>
      <c r="AO19" s="561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</row>
    <row r="20" spans="1:52" ht="15" customHeight="1">
      <c r="A20" s="504"/>
      <c r="B20" s="280" t="str">
        <f>IF(F20="","",N20)</f>
        <v/>
      </c>
      <c r="C20" s="885"/>
      <c r="D20" s="901"/>
      <c r="E20" s="703"/>
      <c r="F20" s="696"/>
      <c r="G20" s="696"/>
      <c r="H20" s="696"/>
      <c r="I20" s="696"/>
      <c r="J20" s="696"/>
      <c r="K20" s="481">
        <f>SUM(F20:J20)</f>
        <v>0</v>
      </c>
      <c r="L20" s="477">
        <f>MAX(F20:J20)</f>
        <v>0</v>
      </c>
      <c r="M20" s="478">
        <f>SUM(K20*1000)+L20+0.38</f>
        <v>0.38</v>
      </c>
      <c r="N20" s="407" t="str">
        <f>IF(F20="","",RANK(M20,M6:M65,0))</f>
        <v/>
      </c>
      <c r="O20" s="481"/>
      <c r="P20" s="482"/>
      <c r="Q20" s="677"/>
      <c r="R20" s="891"/>
      <c r="S20" s="538"/>
      <c r="T20" s="528"/>
      <c r="U20" s="528"/>
      <c r="V20" s="528"/>
      <c r="W20" s="528"/>
      <c r="X20" s="528"/>
      <c r="Y20" s="528"/>
      <c r="Z20" s="528"/>
      <c r="AA20" s="681"/>
      <c r="AB20" s="533"/>
      <c r="AC20" s="555"/>
      <c r="AD20" s="863"/>
      <c r="AE20" s="504"/>
      <c r="AF20" s="504"/>
      <c r="AG20" s="282">
        <f t="shared" si="1"/>
        <v>15</v>
      </c>
      <c r="AH20" s="283" t="str">
        <f>IF(AF6&lt;15,"",VLOOKUP(15,B6:N65,4,FALSE))</f>
        <v/>
      </c>
      <c r="AI20" s="282" t="str">
        <f>IF(AF6&lt;15,"",VLOOKUP(15,B6:N65,10,FALSE))</f>
        <v/>
      </c>
      <c r="AJ20" s="561"/>
      <c r="AK20" s="561"/>
      <c r="AL20" s="476">
        <v>2</v>
      </c>
      <c r="AM20" s="474" t="str">
        <f>IF(AK18&lt;2,"",VLOOKUP(2,T6:AB64,5,FALSE))</f>
        <v/>
      </c>
      <c r="AN20" s="413" t="str">
        <f>IF(AK18&lt;2,"",VLOOKUP(2,T6:AB64,9,FALSE))</f>
        <v/>
      </c>
      <c r="AO20" s="56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</row>
    <row r="21" spans="1:52" ht="15" customHeight="1">
      <c r="A21" s="504"/>
      <c r="B21" s="280" t="str">
        <f>IF(F21="","",N21)</f>
        <v/>
      </c>
      <c r="C21" s="885"/>
      <c r="D21" s="901"/>
      <c r="E21" s="703"/>
      <c r="F21" s="696"/>
      <c r="G21" s="696"/>
      <c r="H21" s="696"/>
      <c r="I21" s="696"/>
      <c r="J21" s="696"/>
      <c r="K21" s="481">
        <f>SUM(F21:J21)</f>
        <v>0</v>
      </c>
      <c r="L21" s="477">
        <f>MAX(F21:J21)</f>
        <v>0</v>
      </c>
      <c r="M21" s="478">
        <f>SUM(K21*1000)+L21+0.37</f>
        <v>0.37</v>
      </c>
      <c r="N21" s="407" t="str">
        <f>IF(F21="","",RANK(M21,M6:M65,0))</f>
        <v/>
      </c>
      <c r="O21" s="481"/>
      <c r="P21" s="482"/>
      <c r="Q21" s="677"/>
      <c r="R21" s="891"/>
      <c r="S21" s="538"/>
      <c r="T21" s="528"/>
      <c r="U21" s="528"/>
      <c r="V21" s="528"/>
      <c r="W21" s="528"/>
      <c r="X21" s="528"/>
      <c r="Y21" s="528"/>
      <c r="Z21" s="528"/>
      <c r="AA21" s="681"/>
      <c r="AB21" s="533"/>
      <c r="AC21" s="555"/>
      <c r="AD21" s="863"/>
      <c r="AE21" s="504"/>
      <c r="AF21" s="504"/>
      <c r="AG21" s="282">
        <f t="shared" si="1"/>
        <v>16</v>
      </c>
      <c r="AH21" s="283" t="str">
        <f>IF(AF6&lt;16,"",VLOOKUP(16,B6:N65,4,FALSE))</f>
        <v/>
      </c>
      <c r="AI21" s="282" t="str">
        <f>IF(AF6&lt;16,"",VLOOKUP(16,B6:N65,10,FALSE))</f>
        <v/>
      </c>
      <c r="AJ21" s="561"/>
      <c r="AK21" s="561"/>
      <c r="AL21" s="476">
        <v>3</v>
      </c>
      <c r="AM21" s="474" t="str">
        <f>IF(AK18&lt;3,"",VLOOKUP(3,T6:AB64,5,FALSE))</f>
        <v/>
      </c>
      <c r="AN21" s="413" t="str">
        <f>IF(AK18&lt;3,"",VLOOKUP(3,T6:AB64,9,FALSE))</f>
        <v/>
      </c>
      <c r="AO21" s="561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</row>
    <row r="22" spans="1:52" ht="15" customHeight="1">
      <c r="A22" s="504"/>
      <c r="B22" s="280" t="str">
        <f>IF(F22="","",N22)</f>
        <v/>
      </c>
      <c r="C22" s="885"/>
      <c r="D22" s="902"/>
      <c r="E22" s="703"/>
      <c r="F22" s="697"/>
      <c r="G22" s="697"/>
      <c r="H22" s="697"/>
      <c r="I22" s="697"/>
      <c r="J22" s="697"/>
      <c r="K22" s="495">
        <f>SUM(F22:J22)</f>
        <v>0</v>
      </c>
      <c r="L22" s="493">
        <f>MAX(F22:J22)</f>
        <v>0</v>
      </c>
      <c r="M22" s="494">
        <f>SUM(K22*1000)+L22+0.36</f>
        <v>0.36</v>
      </c>
      <c r="N22" s="409" t="str">
        <f>IF(F22="","",RANK(M22,M6:M65,0))</f>
        <v/>
      </c>
      <c r="O22" s="495"/>
      <c r="P22" s="496"/>
      <c r="Q22" s="678"/>
      <c r="R22" s="892"/>
      <c r="S22" s="540"/>
      <c r="T22" s="529"/>
      <c r="U22" s="529"/>
      <c r="V22" s="529"/>
      <c r="W22" s="529"/>
      <c r="X22" s="529"/>
      <c r="Y22" s="529"/>
      <c r="Z22" s="529"/>
      <c r="AA22" s="682"/>
      <c r="AB22" s="534"/>
      <c r="AC22" s="555"/>
      <c r="AD22" s="863"/>
      <c r="AE22" s="504"/>
      <c r="AF22" s="504"/>
      <c r="AG22" s="282">
        <f t="shared" si="1"/>
        <v>17</v>
      </c>
      <c r="AH22" s="283" t="str">
        <f>IF(AF6&lt;17,"",VLOOKUP(17,B6:N65,4,FALSE))</f>
        <v/>
      </c>
      <c r="AI22" s="282" t="str">
        <f>IF(AF6&lt;17,"",VLOOKUP(17,B6:N65,10,FALSE))</f>
        <v/>
      </c>
      <c r="AJ22" s="561"/>
      <c r="AK22" s="561"/>
      <c r="AL22" s="476">
        <v>4</v>
      </c>
      <c r="AM22" s="474" t="str">
        <f>IF(AK18&lt;4,"",VLOOKUP(4,T6:AB64,5,FALSE))</f>
        <v/>
      </c>
      <c r="AN22" s="413" t="str">
        <f>IF(AK18&lt;4,"",VLOOKUP(4,T6:AB64,9,FALSE))</f>
        <v/>
      </c>
      <c r="AO22" s="561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</row>
    <row r="23" spans="1:52" ht="15" customHeight="1">
      <c r="A23" s="504"/>
      <c r="B23" s="280"/>
      <c r="C23" s="525"/>
      <c r="D23" s="500"/>
      <c r="E23" s="497"/>
      <c r="F23" s="498">
        <f>SUM(F18:F22)</f>
        <v>0</v>
      </c>
      <c r="G23" s="498">
        <f>SUM(G18:G22)</f>
        <v>0</v>
      </c>
      <c r="H23" s="498">
        <f>SUM(H18:H22)</f>
        <v>0</v>
      </c>
      <c r="I23" s="498">
        <f>SUM(I18:I22)</f>
        <v>0</v>
      </c>
      <c r="J23" s="498">
        <f>SUM(J18:J22)</f>
        <v>0</v>
      </c>
      <c r="K23" s="498"/>
      <c r="L23" s="498"/>
      <c r="M23" s="498"/>
      <c r="N23" s="499"/>
      <c r="O23" s="499">
        <f>SUM(F23:J23)</f>
        <v>0</v>
      </c>
      <c r="P23" s="499">
        <f>MAX(F23:J23)+0.008</f>
        <v>8.0000000000000002E-3</v>
      </c>
      <c r="Q23" s="679" t="str">
        <f>IF(F18="","",SUM(O23*1000)+P23)</f>
        <v/>
      </c>
      <c r="R23" s="503"/>
      <c r="S23" s="530"/>
      <c r="T23" s="530"/>
      <c r="U23" s="530"/>
      <c r="V23" s="530"/>
      <c r="W23" s="530"/>
      <c r="X23" s="530"/>
      <c r="Y23" s="530"/>
      <c r="Z23" s="530"/>
      <c r="AA23" s="683"/>
      <c r="AB23" s="530"/>
      <c r="AC23" s="532"/>
      <c r="AD23" s="863"/>
      <c r="AE23" s="504"/>
      <c r="AF23" s="504"/>
      <c r="AG23" s="282">
        <f t="shared" si="1"/>
        <v>18</v>
      </c>
      <c r="AH23" s="283" t="str">
        <f>IF(AF6&lt;18,"",VLOOKUP(18,B6:N65,4,FALSE))</f>
        <v/>
      </c>
      <c r="AI23" s="282" t="str">
        <f>IF(AF6&lt;18,"",VLOOKUP(18,B6:N65,10,FALSE))</f>
        <v/>
      </c>
      <c r="AJ23" s="561"/>
      <c r="AK23" s="561"/>
      <c r="AL23" s="476">
        <v>5</v>
      </c>
      <c r="AM23" s="474" t="str">
        <f>IF(AK18&lt;5,"",VLOOKUP(5,T6:AB64,5,FALSE))</f>
        <v/>
      </c>
      <c r="AN23" s="413" t="str">
        <f>IF(AK18&lt;5,"",VLOOKUP(5,T6:AB64,9,FALSE))</f>
        <v/>
      </c>
      <c r="AO23" s="561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</row>
    <row r="24" spans="1:52" ht="15" customHeight="1">
      <c r="A24" s="504"/>
      <c r="B24" s="280" t="str">
        <f>IF(F24="","",N24)</f>
        <v/>
      </c>
      <c r="C24" s="885">
        <v>4</v>
      </c>
      <c r="D24" s="900" t="s">
        <v>137</v>
      </c>
      <c r="E24" s="704"/>
      <c r="F24" s="695"/>
      <c r="G24" s="695"/>
      <c r="H24" s="695"/>
      <c r="I24" s="695"/>
      <c r="J24" s="695"/>
      <c r="K24" s="477">
        <f>SUM(F24:J24)</f>
        <v>0</v>
      </c>
      <c r="L24" s="477">
        <f>MAX(F24:J24)</f>
        <v>0</v>
      </c>
      <c r="M24" s="478">
        <f>SUM(K24*1000)+L24+0.35</f>
        <v>0.35</v>
      </c>
      <c r="N24" s="410" t="str">
        <f>IF(F24="","",RANK(M24,M6:M65,0))</f>
        <v/>
      </c>
      <c r="O24" s="477"/>
      <c r="P24" s="480"/>
      <c r="Q24" s="676"/>
      <c r="R24" s="890" t="str">
        <f>IF(F24="","",RANK(Q29,Q11:Q65,0))</f>
        <v/>
      </c>
      <c r="S24" s="537"/>
      <c r="T24" s="527"/>
      <c r="U24" s="543" t="str">
        <f>IF(R24="","",R24)</f>
        <v/>
      </c>
      <c r="V24" s="544" t="str">
        <f>IF(D24="","",D24)</f>
        <v>VRŠOVICE II.</v>
      </c>
      <c r="W24" s="547">
        <f>IF(O29="","",O29)</f>
        <v>0</v>
      </c>
      <c r="X24" s="527"/>
      <c r="Y24" s="527"/>
      <c r="Z24" s="527"/>
      <c r="AA24" s="684"/>
      <c r="AB24" s="558"/>
      <c r="AC24" s="555"/>
      <c r="AD24" s="863"/>
      <c r="AE24" s="504"/>
      <c r="AF24" s="504"/>
      <c r="AG24" s="282">
        <f t="shared" si="1"/>
        <v>19</v>
      </c>
      <c r="AH24" s="283" t="str">
        <f>IF(AF6&lt;19,"",VLOOKUP(19,B6:N65,4,FALSE))</f>
        <v/>
      </c>
      <c r="AI24" s="282" t="str">
        <f>IF(AF6&lt;19,"",VLOOKUP(19,B6:N65,10,FALSE))</f>
        <v/>
      </c>
      <c r="AJ24" s="561"/>
      <c r="AK24" s="561"/>
      <c r="AL24" s="561"/>
      <c r="AM24" s="561"/>
      <c r="AN24" s="561"/>
      <c r="AO24" s="561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</row>
    <row r="25" spans="1:52" ht="15" customHeight="1">
      <c r="A25" s="504"/>
      <c r="B25" s="280" t="str">
        <f>IF(F25="","",N25)</f>
        <v/>
      </c>
      <c r="C25" s="885"/>
      <c r="D25" s="901"/>
      <c r="E25" s="703"/>
      <c r="F25" s="696"/>
      <c r="G25" s="696"/>
      <c r="H25" s="696"/>
      <c r="I25" s="696"/>
      <c r="J25" s="696"/>
      <c r="K25" s="481">
        <f>SUM(F25:J25)</f>
        <v>0</v>
      </c>
      <c r="L25" s="477">
        <f>MAX(F25:J25)</f>
        <v>0</v>
      </c>
      <c r="M25" s="478">
        <f>SUM(K25*1000)+L25+0.34</f>
        <v>0.34</v>
      </c>
      <c r="N25" s="407" t="str">
        <f>IF(F25="","",RANK(M25,M6:M65,0))</f>
        <v/>
      </c>
      <c r="O25" s="481"/>
      <c r="P25" s="482"/>
      <c r="Q25" s="677"/>
      <c r="R25" s="891"/>
      <c r="S25" s="538"/>
      <c r="T25" s="528"/>
      <c r="U25" s="528"/>
      <c r="V25" s="528"/>
      <c r="W25" s="528"/>
      <c r="X25" s="528"/>
      <c r="Y25" s="528"/>
      <c r="Z25" s="528"/>
      <c r="AA25" s="681"/>
      <c r="AB25" s="533"/>
      <c r="AC25" s="555"/>
      <c r="AD25" s="863"/>
      <c r="AE25" s="504"/>
      <c r="AF25" s="504"/>
      <c r="AG25" s="282">
        <f t="shared" si="1"/>
        <v>20</v>
      </c>
      <c r="AH25" s="283" t="str">
        <f>IF(AF6&lt;20,"",VLOOKUP(20,B6:N65,4,FALSE))</f>
        <v/>
      </c>
      <c r="AI25" s="282" t="str">
        <f>IF(AF6&lt;20,"",VLOOKUP(20,B6:N65,10,FALSE))</f>
        <v/>
      </c>
      <c r="AJ25" s="561"/>
      <c r="AK25" s="561"/>
      <c r="AL25" s="561"/>
      <c r="AM25" s="561"/>
      <c r="AN25" s="561"/>
      <c r="AO25" s="561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</row>
    <row r="26" spans="1:52" ht="15" customHeight="1">
      <c r="A26" s="504"/>
      <c r="B26" s="280" t="str">
        <f>IF(F26="","",N26)</f>
        <v/>
      </c>
      <c r="C26" s="885"/>
      <c r="D26" s="901"/>
      <c r="E26" s="703"/>
      <c r="F26" s="696"/>
      <c r="G26" s="696"/>
      <c r="H26" s="696"/>
      <c r="I26" s="696"/>
      <c r="J26" s="696"/>
      <c r="K26" s="481">
        <f>SUM(F26:J26)</f>
        <v>0</v>
      </c>
      <c r="L26" s="477">
        <f>MAX(F26:J26)</f>
        <v>0</v>
      </c>
      <c r="M26" s="478">
        <f>SUM(K26*1000)+L26+0.33</f>
        <v>0.33</v>
      </c>
      <c r="N26" s="407" t="str">
        <f>IF(F26="","",RANK(M26,M6:M65,0))</f>
        <v/>
      </c>
      <c r="O26" s="481"/>
      <c r="P26" s="482"/>
      <c r="Q26" s="677"/>
      <c r="R26" s="891"/>
      <c r="S26" s="538"/>
      <c r="T26" s="528"/>
      <c r="U26" s="528"/>
      <c r="V26" s="528"/>
      <c r="W26" s="528"/>
      <c r="X26" s="528"/>
      <c r="Y26" s="528"/>
      <c r="Z26" s="528"/>
      <c r="AA26" s="681"/>
      <c r="AB26" s="533"/>
      <c r="AC26" s="555"/>
      <c r="AD26" s="863"/>
      <c r="AE26" s="504"/>
      <c r="AF26" s="504"/>
      <c r="AG26" s="282">
        <f t="shared" si="1"/>
        <v>21</v>
      </c>
      <c r="AH26" s="283" t="str">
        <f>IF(AF6&lt;21,"",VLOOKUP(21,B6:N65,4,FALSE))</f>
        <v/>
      </c>
      <c r="AI26" s="282" t="str">
        <f>IF(AF6&lt;21,"",VLOOKUP(21,B6:N65,10,FALSE))</f>
        <v/>
      </c>
      <c r="AJ26" s="561"/>
      <c r="AK26" s="561"/>
      <c r="AL26" s="561"/>
      <c r="AM26" s="561"/>
      <c r="AN26" s="561"/>
      <c r="AO26" s="561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1:52" ht="15" customHeight="1">
      <c r="A27" s="504"/>
      <c r="B27" s="280" t="str">
        <f>IF(F27="","",N27)</f>
        <v/>
      </c>
      <c r="C27" s="885"/>
      <c r="D27" s="901"/>
      <c r="E27" s="703"/>
      <c r="F27" s="696"/>
      <c r="G27" s="696"/>
      <c r="H27" s="696"/>
      <c r="I27" s="696"/>
      <c r="J27" s="696"/>
      <c r="K27" s="481">
        <f>SUM(F27:J27)</f>
        <v>0</v>
      </c>
      <c r="L27" s="477">
        <f>MAX(F27:J27)</f>
        <v>0</v>
      </c>
      <c r="M27" s="478">
        <f>SUM(K27*1000)+L27+0.32</f>
        <v>0.32</v>
      </c>
      <c r="N27" s="407" t="str">
        <f>IF(F27="","",RANK(M27,M6:M65,0))</f>
        <v/>
      </c>
      <c r="O27" s="481"/>
      <c r="P27" s="482"/>
      <c r="Q27" s="677"/>
      <c r="R27" s="891"/>
      <c r="S27" s="538"/>
      <c r="T27" s="528"/>
      <c r="U27" s="528"/>
      <c r="V27" s="528"/>
      <c r="W27" s="528"/>
      <c r="X27" s="528"/>
      <c r="Y27" s="528"/>
      <c r="Z27" s="528"/>
      <c r="AA27" s="681"/>
      <c r="AB27" s="533"/>
      <c r="AC27" s="555"/>
      <c r="AD27" s="863"/>
      <c r="AE27" s="504"/>
      <c r="AF27" s="504"/>
      <c r="AG27" s="282">
        <f t="shared" si="1"/>
        <v>22</v>
      </c>
      <c r="AH27" s="283" t="str">
        <f>IF(AF6&lt;22,"",VLOOKUP(22,B6:N65,4,FALSE))</f>
        <v/>
      </c>
      <c r="AI27" s="282" t="str">
        <f>IF(AF6&lt;22,"",VLOOKUP(22,B6:N65,10,FALSE))</f>
        <v/>
      </c>
      <c r="AJ27" s="561"/>
      <c r="AK27" s="561"/>
      <c r="AL27" s="561"/>
      <c r="AM27" s="561"/>
      <c r="AN27" s="561"/>
      <c r="AO27" s="561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1:52" ht="15" customHeight="1">
      <c r="A28" s="504"/>
      <c r="B28" s="280" t="str">
        <f>IF(F28="","",N28)</f>
        <v/>
      </c>
      <c r="C28" s="885"/>
      <c r="D28" s="902"/>
      <c r="E28" s="703"/>
      <c r="F28" s="697"/>
      <c r="G28" s="697"/>
      <c r="H28" s="697"/>
      <c r="I28" s="697"/>
      <c r="J28" s="697"/>
      <c r="K28" s="495">
        <f>SUM(F28:J28)</f>
        <v>0</v>
      </c>
      <c r="L28" s="493">
        <f>MAX(F28:J28)</f>
        <v>0</v>
      </c>
      <c r="M28" s="494">
        <f>SUM(K28*1000)+L28+0.31</f>
        <v>0.31</v>
      </c>
      <c r="N28" s="409" t="str">
        <f>IF(F28="","",RANK(M28,M6:M65,0))</f>
        <v/>
      </c>
      <c r="O28" s="495"/>
      <c r="P28" s="496"/>
      <c r="Q28" s="678"/>
      <c r="R28" s="892"/>
      <c r="S28" s="540"/>
      <c r="T28" s="529"/>
      <c r="U28" s="529"/>
      <c r="V28" s="529"/>
      <c r="W28" s="529"/>
      <c r="X28" s="529"/>
      <c r="Y28" s="529"/>
      <c r="Z28" s="529"/>
      <c r="AA28" s="682"/>
      <c r="AB28" s="534"/>
      <c r="AC28" s="542"/>
      <c r="AD28" s="864"/>
      <c r="AE28" s="504"/>
      <c r="AF28" s="504"/>
      <c r="AG28" s="282">
        <f t="shared" si="1"/>
        <v>23</v>
      </c>
      <c r="AH28" s="283" t="str">
        <f>IF(AF6&lt;23,"",VLOOKUP(23,B6:N65,4,FALSE))</f>
        <v/>
      </c>
      <c r="AI28" s="282" t="str">
        <f>IF(AF6&lt;23,"",VLOOKUP(23,B6:N65,10,FALSE))</f>
        <v/>
      </c>
      <c r="AJ28" s="561"/>
      <c r="AK28" s="561"/>
      <c r="AL28" s="561"/>
      <c r="AM28" s="561"/>
      <c r="AN28" s="561"/>
      <c r="AO28" s="561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1:52" ht="15" customHeight="1">
      <c r="A29" s="504"/>
      <c r="B29" s="504"/>
      <c r="C29" s="524"/>
      <c r="D29" s="520"/>
      <c r="E29" s="515"/>
      <c r="F29" s="522">
        <f>SUM(F24:F28)</f>
        <v>0</v>
      </c>
      <c r="G29" s="522">
        <f>SUM(G24:G28)</f>
        <v>0</v>
      </c>
      <c r="H29" s="522">
        <f>SUM(H24:H28)</f>
        <v>0</v>
      </c>
      <c r="I29" s="522">
        <f>SUM(I24:I28)</f>
        <v>0</v>
      </c>
      <c r="J29" s="522">
        <f>SUM(J24:J28)</f>
        <v>0</v>
      </c>
      <c r="K29" s="516"/>
      <c r="L29" s="516"/>
      <c r="M29" s="516"/>
      <c r="N29" s="516"/>
      <c r="O29" s="516">
        <f>SUM(F29:J29)</f>
        <v>0</v>
      </c>
      <c r="P29" s="516">
        <f>MAX(F29:J29)+0.007</f>
        <v>7.0000000000000001E-3</v>
      </c>
      <c r="Q29" s="675" t="str">
        <f>IF(F24="","",SUM(O29*1000)+P29)</f>
        <v/>
      </c>
      <c r="R29" s="518"/>
      <c r="S29" s="535"/>
      <c r="T29" s="535"/>
      <c r="U29" s="535"/>
      <c r="V29" s="535"/>
      <c r="W29" s="535"/>
      <c r="X29" s="535"/>
      <c r="Y29" s="535"/>
      <c r="Z29" s="535"/>
      <c r="AA29" s="685"/>
      <c r="AB29" s="535"/>
      <c r="AC29" s="893">
        <f>SUM(O23,O29)</f>
        <v>0</v>
      </c>
      <c r="AD29" s="893"/>
      <c r="AE29" s="504"/>
      <c r="AF29" s="504"/>
      <c r="AG29" s="282">
        <f t="shared" si="1"/>
        <v>24</v>
      </c>
      <c r="AH29" s="283" t="str">
        <f>IF(AF6&lt;24,"",VLOOKUP(24,B6:N65,4,FALSE))</f>
        <v/>
      </c>
      <c r="AI29" s="282" t="str">
        <f>IF(AF6&lt;24,"",VLOOKUP(24,B6:N65,10,FALSE))</f>
        <v/>
      </c>
      <c r="AJ29" s="561"/>
      <c r="AK29" s="561"/>
      <c r="AL29" s="561"/>
      <c r="AM29" s="561"/>
      <c r="AN29" s="561"/>
      <c r="AO29" s="561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</row>
    <row r="30" spans="1:52" ht="15" customHeight="1">
      <c r="A30" s="504"/>
      <c r="B30" s="280" t="str">
        <f>IF(F30="","",N30)</f>
        <v/>
      </c>
      <c r="C30" s="885">
        <v>5</v>
      </c>
      <c r="D30" s="897" t="s">
        <v>138</v>
      </c>
      <c r="E30" s="704"/>
      <c r="F30" s="695"/>
      <c r="G30" s="695"/>
      <c r="H30" s="695"/>
      <c r="I30" s="695"/>
      <c r="J30" s="695"/>
      <c r="K30" s="477">
        <f>SUM(F30:J30)</f>
        <v>0</v>
      </c>
      <c r="L30" s="477">
        <f>MAX(F30:J30)</f>
        <v>0</v>
      </c>
      <c r="M30" s="478">
        <f>SUM(K30*1000)+L30+0.3</f>
        <v>0.3</v>
      </c>
      <c r="N30" s="410" t="str">
        <f>IF(F30="","",RANK(M30,M6:M65,0))</f>
        <v/>
      </c>
      <c r="O30" s="477"/>
      <c r="P30" s="480"/>
      <c r="Q30" s="676"/>
      <c r="R30" s="881" t="str">
        <f>IF(F30="","",RANK(Q35,Q11:Q65,0))</f>
        <v/>
      </c>
      <c r="S30" s="537"/>
      <c r="T30" s="543" t="str">
        <f>IF(F30="","",RANK(AA30,AA6:AA64,0))</f>
        <v/>
      </c>
      <c r="U30" s="543" t="str">
        <f>IF(R30="","",R30)</f>
        <v/>
      </c>
      <c r="V30" s="544" t="str">
        <f>IF(D30="","",D30)</f>
        <v>KLÍČOV I.</v>
      </c>
      <c r="W30" s="544">
        <f>IF(O35="","",O35)</f>
        <v>0</v>
      </c>
      <c r="X30" s="544" t="str">
        <f>IF(V30="HOSTIVAŘ I.","GARÁŽ HOSTIVAŘ",IF(V30="VRŠOVICE I.","GARÁŽ VRŠOVICE",IF(V30="KLÍČOV I.","GARÁŽ KLÍČOV",IF(V30="ŘEPY I.","GARÁŽ ŘEPY",IF(V30="KAČEROV I.","GARÁŽ KAČEROV","")))))</f>
        <v>GARÁŽ KLÍČOV</v>
      </c>
      <c r="Y30" s="544">
        <f>MAX(F35:J35,F41:J41)+0.03</f>
        <v>0.03</v>
      </c>
      <c r="Z30" s="544">
        <f>SUM(O35,O41)*1000</f>
        <v>0</v>
      </c>
      <c r="AA30" s="655">
        <f>SUM(Y30:Z30)</f>
        <v>0.03</v>
      </c>
      <c r="AB30" s="545">
        <f>IF(AC41="","",AC41)</f>
        <v>0</v>
      </c>
      <c r="AC30" s="535"/>
      <c r="AD30" s="862" t="str">
        <f>IF(T30="","",T30)</f>
        <v/>
      </c>
      <c r="AE30" s="504"/>
      <c r="AF30" s="504"/>
      <c r="AG30" s="282">
        <f t="shared" si="1"/>
        <v>25</v>
      </c>
      <c r="AH30" s="283" t="str">
        <f>IF(AF6&lt;25,"",VLOOKUP(25,B6:N65,4,FALSE))</f>
        <v/>
      </c>
      <c r="AI30" s="282" t="str">
        <f>IF(AF6&lt;25,"",VLOOKUP(25,B6:N65,10,FALSE))</f>
        <v/>
      </c>
      <c r="AJ30" s="561"/>
      <c r="AK30" s="561"/>
      <c r="AL30" s="561"/>
      <c r="AM30" s="561"/>
      <c r="AN30" s="561"/>
      <c r="AO30" s="561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</row>
    <row r="31" spans="1:52" ht="15" customHeight="1">
      <c r="A31" s="504"/>
      <c r="B31" s="280" t="str">
        <f>IF(F31="","",N31)</f>
        <v/>
      </c>
      <c r="C31" s="885"/>
      <c r="D31" s="898"/>
      <c r="E31" s="703"/>
      <c r="F31" s="696"/>
      <c r="G31" s="696"/>
      <c r="H31" s="696"/>
      <c r="I31" s="696"/>
      <c r="J31" s="696"/>
      <c r="K31" s="481">
        <f>SUM(F31:J31)</f>
        <v>0</v>
      </c>
      <c r="L31" s="477">
        <f>MAX(F31:J31)</f>
        <v>0</v>
      </c>
      <c r="M31" s="478">
        <f>SUM(K31*1000)+L31+0.29</f>
        <v>0.28999999999999998</v>
      </c>
      <c r="N31" s="407" t="str">
        <f>IF(F31="","",RANK(M31,M6:M65,0))</f>
        <v/>
      </c>
      <c r="O31" s="481"/>
      <c r="P31" s="482"/>
      <c r="Q31" s="677"/>
      <c r="R31" s="882"/>
      <c r="S31" s="538"/>
      <c r="T31" s="528"/>
      <c r="U31" s="528"/>
      <c r="V31" s="528"/>
      <c r="W31" s="528"/>
      <c r="X31" s="528"/>
      <c r="Y31" s="528"/>
      <c r="Z31" s="528"/>
      <c r="AA31" s="681"/>
      <c r="AB31" s="539"/>
      <c r="AC31" s="532"/>
      <c r="AD31" s="863"/>
      <c r="AE31" s="504"/>
      <c r="AF31" s="504"/>
      <c r="AG31" s="282">
        <f t="shared" si="1"/>
        <v>26</v>
      </c>
      <c r="AH31" s="283" t="str">
        <f>IF(AF6&lt;26,"",VLOOKUP(26,B6:N65,4,FALSE))</f>
        <v/>
      </c>
      <c r="AI31" s="282" t="str">
        <f>IF(AF6&lt;26,"",VLOOKUP(26,B6:N65,10,FALSE))</f>
        <v/>
      </c>
      <c r="AJ31" s="561"/>
      <c r="AK31" s="561"/>
      <c r="AL31" s="561"/>
      <c r="AM31" s="561"/>
      <c r="AN31" s="561"/>
      <c r="AO31" s="561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</row>
    <row r="32" spans="1:52" ht="15" customHeight="1">
      <c r="A32" s="504"/>
      <c r="B32" s="280" t="str">
        <f>IF(F32="","",N32)</f>
        <v/>
      </c>
      <c r="C32" s="885"/>
      <c r="D32" s="898"/>
      <c r="E32" s="703"/>
      <c r="F32" s="696"/>
      <c r="G32" s="696"/>
      <c r="H32" s="696"/>
      <c r="I32" s="696"/>
      <c r="J32" s="696"/>
      <c r="K32" s="481">
        <f>SUM(F32:J32)</f>
        <v>0</v>
      </c>
      <c r="L32" s="477">
        <f>MAX(F32:J32)</f>
        <v>0</v>
      </c>
      <c r="M32" s="478">
        <f>SUM(K32*1000)+L32+0.28</f>
        <v>0.28000000000000003</v>
      </c>
      <c r="N32" s="407" t="str">
        <f>IF(F32="","",RANK(M32,M6:M65,0))</f>
        <v/>
      </c>
      <c r="O32" s="481"/>
      <c r="P32" s="482"/>
      <c r="Q32" s="677"/>
      <c r="R32" s="882"/>
      <c r="S32" s="538"/>
      <c r="T32" s="528"/>
      <c r="U32" s="528"/>
      <c r="V32" s="528"/>
      <c r="W32" s="528"/>
      <c r="X32" s="528"/>
      <c r="Y32" s="528"/>
      <c r="Z32" s="528"/>
      <c r="AA32" s="681"/>
      <c r="AB32" s="539"/>
      <c r="AC32" s="532"/>
      <c r="AD32" s="863"/>
      <c r="AE32" s="504"/>
      <c r="AF32" s="504"/>
      <c r="AG32" s="282">
        <f t="shared" si="1"/>
        <v>27</v>
      </c>
      <c r="AH32" s="283" t="str">
        <f>IF(AF6&lt;27,"",VLOOKUP(27,B6:N65,4,FALSE))</f>
        <v/>
      </c>
      <c r="AI32" s="282" t="str">
        <f>IF(AF6&lt;27,"",VLOOKUP(27,B6:N65,10,FALSE))</f>
        <v/>
      </c>
      <c r="AJ32" s="561"/>
      <c r="AK32" s="561"/>
      <c r="AL32" s="561"/>
      <c r="AM32" s="561"/>
      <c r="AN32" s="561"/>
      <c r="AO32" s="561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</row>
    <row r="33" spans="1:52" ht="15" customHeight="1">
      <c r="A33" s="504"/>
      <c r="B33" s="280" t="str">
        <f>IF(F33="","",N33)</f>
        <v/>
      </c>
      <c r="C33" s="885"/>
      <c r="D33" s="898"/>
      <c r="E33" s="703"/>
      <c r="F33" s="696"/>
      <c r="G33" s="696"/>
      <c r="H33" s="696"/>
      <c r="I33" s="696"/>
      <c r="J33" s="696"/>
      <c r="K33" s="481">
        <f>SUM(F33:J33)</f>
        <v>0</v>
      </c>
      <c r="L33" s="477">
        <f>MAX(F33:J33)</f>
        <v>0</v>
      </c>
      <c r="M33" s="478">
        <f>SUM(K33*1000)+L33+0.27</f>
        <v>0.27</v>
      </c>
      <c r="N33" s="407" t="str">
        <f>IF(F33="","",RANK(M33,M6:M65,0))</f>
        <v/>
      </c>
      <c r="O33" s="481"/>
      <c r="P33" s="482"/>
      <c r="Q33" s="677"/>
      <c r="R33" s="882"/>
      <c r="S33" s="538"/>
      <c r="T33" s="528"/>
      <c r="U33" s="528"/>
      <c r="V33" s="528"/>
      <c r="W33" s="528"/>
      <c r="X33" s="528"/>
      <c r="Y33" s="528"/>
      <c r="Z33" s="528"/>
      <c r="AA33" s="681"/>
      <c r="AB33" s="539"/>
      <c r="AC33" s="532"/>
      <c r="AD33" s="863"/>
      <c r="AE33" s="504"/>
      <c r="AF33" s="504"/>
      <c r="AG33" s="282">
        <f t="shared" si="1"/>
        <v>28</v>
      </c>
      <c r="AH33" s="283" t="str">
        <f>IF(AF6&lt;28,"",VLOOKUP(28,B6:N65,4,FALSE))</f>
        <v/>
      </c>
      <c r="AI33" s="282" t="str">
        <f>IF(AF6&lt;28,"",VLOOKUP(28,B6:N65,10,FALSE))</f>
        <v/>
      </c>
      <c r="AJ33" s="561"/>
      <c r="AK33" s="561"/>
      <c r="AL33" s="561"/>
      <c r="AM33" s="561"/>
      <c r="AN33" s="561"/>
      <c r="AO33" s="561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</row>
    <row r="34" spans="1:52" ht="15" customHeight="1">
      <c r="A34" s="504"/>
      <c r="B34" s="280" t="str">
        <f>IF(F34="","",N34)</f>
        <v/>
      </c>
      <c r="C34" s="885"/>
      <c r="D34" s="899"/>
      <c r="E34" s="703"/>
      <c r="F34" s="697"/>
      <c r="G34" s="697"/>
      <c r="H34" s="697"/>
      <c r="I34" s="697"/>
      <c r="J34" s="697"/>
      <c r="K34" s="495">
        <f>SUM(F34:J34)</f>
        <v>0</v>
      </c>
      <c r="L34" s="493">
        <f>MAX(F34:J34)</f>
        <v>0</v>
      </c>
      <c r="M34" s="494">
        <f>SUM(K34*1000)+L34+0.26</f>
        <v>0.26</v>
      </c>
      <c r="N34" s="409" t="str">
        <f>IF(F34="","",RANK(M34,M6:M65,0))</f>
        <v/>
      </c>
      <c r="O34" s="495"/>
      <c r="P34" s="496"/>
      <c r="Q34" s="678"/>
      <c r="R34" s="883"/>
      <c r="S34" s="540"/>
      <c r="T34" s="529"/>
      <c r="U34" s="529"/>
      <c r="V34" s="529"/>
      <c r="W34" s="529"/>
      <c r="X34" s="529"/>
      <c r="Y34" s="529"/>
      <c r="Z34" s="529"/>
      <c r="AA34" s="682"/>
      <c r="AB34" s="541"/>
      <c r="AC34" s="532"/>
      <c r="AD34" s="863"/>
      <c r="AE34" s="504"/>
      <c r="AF34" s="504"/>
      <c r="AG34" s="282">
        <f t="shared" si="1"/>
        <v>29</v>
      </c>
      <c r="AH34" s="283" t="str">
        <f>IF(AF6&lt;29,"",VLOOKUP(29,B6:N65,4,FALSE))</f>
        <v/>
      </c>
      <c r="AI34" s="282" t="str">
        <f>IF(AF6&lt;29,"",VLOOKUP(29,B6:N65,10,FALSE))</f>
        <v/>
      </c>
      <c r="AJ34" s="561"/>
      <c r="AK34" s="561"/>
      <c r="AL34" s="561"/>
      <c r="AM34" s="561"/>
      <c r="AN34" s="561"/>
      <c r="AO34" s="561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</row>
    <row r="35" spans="1:52" ht="15" customHeight="1">
      <c r="A35" s="504"/>
      <c r="B35" s="280"/>
      <c r="C35" s="525"/>
      <c r="D35" s="501"/>
      <c r="E35" s="497"/>
      <c r="F35" s="498">
        <f>SUM(F30:F34)</f>
        <v>0</v>
      </c>
      <c r="G35" s="498">
        <f>SUM(G30:G34)</f>
        <v>0</v>
      </c>
      <c r="H35" s="498">
        <f>SUM(H30:H34)</f>
        <v>0</v>
      </c>
      <c r="I35" s="498">
        <f>SUM(I30:I34)</f>
        <v>0</v>
      </c>
      <c r="J35" s="498">
        <f>SUM(J30:J34)</f>
        <v>0</v>
      </c>
      <c r="K35" s="499"/>
      <c r="L35" s="499"/>
      <c r="M35" s="502"/>
      <c r="N35" s="499"/>
      <c r="O35" s="499">
        <f>SUM(F35:J35)</f>
        <v>0</v>
      </c>
      <c r="P35" s="499">
        <f>MAX(F35:J35)+0.006</f>
        <v>6.0000000000000001E-3</v>
      </c>
      <c r="Q35" s="679" t="str">
        <f>IF(F30="","",SUM(O35*1000)+P35)</f>
        <v/>
      </c>
      <c r="R35" s="468"/>
      <c r="S35" s="530"/>
      <c r="T35" s="530"/>
      <c r="U35" s="530"/>
      <c r="V35" s="530"/>
      <c r="W35" s="530"/>
      <c r="X35" s="530"/>
      <c r="Y35" s="530"/>
      <c r="Z35" s="530"/>
      <c r="AA35" s="683"/>
      <c r="AB35" s="530"/>
      <c r="AC35" s="532"/>
      <c r="AD35" s="863"/>
      <c r="AE35" s="504"/>
      <c r="AF35" s="504"/>
      <c r="AG35" s="282">
        <f t="shared" si="1"/>
        <v>30</v>
      </c>
      <c r="AH35" s="283" t="str">
        <f>IF(AF6&lt;30,"",VLOOKUP(30,B6:N65,4,FALSE))</f>
        <v/>
      </c>
      <c r="AI35" s="282" t="str">
        <f>IF(AF6&lt;30,"",VLOOKUP(30,B6:N65,10,FALSE))</f>
        <v/>
      </c>
      <c r="AJ35" s="561"/>
      <c r="AK35" s="561"/>
      <c r="AL35" s="561"/>
      <c r="AM35" s="561"/>
      <c r="AN35" s="561"/>
      <c r="AO35" s="561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</row>
    <row r="36" spans="1:52" ht="15" customHeight="1">
      <c r="A36" s="504"/>
      <c r="B36" s="280" t="str">
        <f>IF(F36="","",N36)</f>
        <v/>
      </c>
      <c r="C36" s="884">
        <v>6</v>
      </c>
      <c r="D36" s="897" t="s">
        <v>139</v>
      </c>
      <c r="E36" s="704"/>
      <c r="F36" s="695"/>
      <c r="G36" s="695"/>
      <c r="H36" s="695"/>
      <c r="I36" s="695"/>
      <c r="J36" s="695"/>
      <c r="K36" s="477">
        <f>SUM(F36:J36)</f>
        <v>0</v>
      </c>
      <c r="L36" s="477">
        <f>MAX(F36:J36)</f>
        <v>0</v>
      </c>
      <c r="M36" s="478">
        <f>SUM(K36*1000)+L36+0.25</f>
        <v>0.25</v>
      </c>
      <c r="N36" s="410" t="str">
        <f>IF(F36="","",RANK(M36,M6:M65,0))</f>
        <v/>
      </c>
      <c r="O36" s="477"/>
      <c r="P36" s="480"/>
      <c r="Q36" s="676"/>
      <c r="R36" s="881" t="str">
        <f>IF(F36="","",RANK(Q41,Q11:Q65,0))</f>
        <v/>
      </c>
      <c r="S36" s="537"/>
      <c r="T36" s="527"/>
      <c r="U36" s="543" t="str">
        <f>IF(R36="","",R36)</f>
        <v/>
      </c>
      <c r="V36" s="544" t="str">
        <f>IF(D36="","",D36)</f>
        <v>KLÍČOV II.</v>
      </c>
      <c r="W36" s="547">
        <f>IF(O41="","",O41)</f>
        <v>0</v>
      </c>
      <c r="X36" s="527"/>
      <c r="Y36" s="527"/>
      <c r="Z36" s="527"/>
      <c r="AA36" s="684"/>
      <c r="AB36" s="548"/>
      <c r="AC36" s="532"/>
      <c r="AD36" s="863"/>
      <c r="AE36" s="504"/>
      <c r="AF36" s="504"/>
      <c r="AG36" s="282">
        <f t="shared" si="1"/>
        <v>31</v>
      </c>
      <c r="AH36" s="283" t="str">
        <f>IF(AF6&lt;31,"",VLOOKUP(31,B6:N65,4,FALSE))</f>
        <v/>
      </c>
      <c r="AI36" s="282" t="str">
        <f>IF(AF6&lt;31,"",VLOOKUP(31,B6:N65,10,FALSE))</f>
        <v/>
      </c>
      <c r="AJ36" s="561"/>
      <c r="AK36" s="561"/>
      <c r="AL36" s="561"/>
      <c r="AM36" s="561"/>
      <c r="AN36" s="561"/>
      <c r="AO36" s="561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</row>
    <row r="37" spans="1:52" ht="15" customHeight="1">
      <c r="A37" s="504"/>
      <c r="B37" s="280" t="str">
        <f>IF(F37="","",N37)</f>
        <v/>
      </c>
      <c r="C37" s="885"/>
      <c r="D37" s="898"/>
      <c r="E37" s="703"/>
      <c r="F37" s="696"/>
      <c r="G37" s="696"/>
      <c r="H37" s="696"/>
      <c r="I37" s="696"/>
      <c r="J37" s="696"/>
      <c r="K37" s="481">
        <f>SUM(F37:J37)</f>
        <v>0</v>
      </c>
      <c r="L37" s="477">
        <f>MAX(F37:J37)</f>
        <v>0</v>
      </c>
      <c r="M37" s="478">
        <f>SUM(K37*1000)+L37+0.24</f>
        <v>0.24</v>
      </c>
      <c r="N37" s="407" t="str">
        <f>IF(F37="","",RANK(M37,M6:M65,0))</f>
        <v/>
      </c>
      <c r="O37" s="481"/>
      <c r="P37" s="482"/>
      <c r="Q37" s="677"/>
      <c r="R37" s="882"/>
      <c r="S37" s="538"/>
      <c r="T37" s="528"/>
      <c r="U37" s="528"/>
      <c r="V37" s="528"/>
      <c r="W37" s="528"/>
      <c r="X37" s="528"/>
      <c r="Y37" s="528"/>
      <c r="Z37" s="528"/>
      <c r="AA37" s="681"/>
      <c r="AB37" s="539"/>
      <c r="AC37" s="532"/>
      <c r="AD37" s="863"/>
      <c r="AE37" s="504"/>
      <c r="AF37" s="504"/>
      <c r="AG37" s="282">
        <f t="shared" si="1"/>
        <v>32</v>
      </c>
      <c r="AH37" s="283" t="str">
        <f>IF(AF6&lt;32,"",VLOOKUP(32,B6:N65,4,FALSE))</f>
        <v/>
      </c>
      <c r="AI37" s="282" t="str">
        <f>IF(AF6&lt;32,"",VLOOKUP(32,B6:N65,10,FALSE))</f>
        <v/>
      </c>
      <c r="AJ37" s="561"/>
      <c r="AK37" s="561"/>
      <c r="AL37" s="561"/>
      <c r="AM37" s="561"/>
      <c r="AN37" s="561"/>
      <c r="AO37" s="561"/>
      <c r="AP37" s="506"/>
      <c r="AQ37" s="506"/>
      <c r="AR37" s="506"/>
      <c r="AS37" s="506"/>
      <c r="AT37" s="506"/>
      <c r="AU37" s="506"/>
      <c r="AV37" s="506"/>
      <c r="AW37" s="506"/>
      <c r="AX37" s="506"/>
      <c r="AY37" s="506"/>
      <c r="AZ37" s="506"/>
    </row>
    <row r="38" spans="1:52" ht="15" customHeight="1">
      <c r="A38" s="504"/>
      <c r="B38" s="280" t="str">
        <f>IF(F38="","",N38)</f>
        <v/>
      </c>
      <c r="C38" s="885"/>
      <c r="D38" s="898"/>
      <c r="E38" s="703"/>
      <c r="F38" s="696"/>
      <c r="G38" s="696"/>
      <c r="H38" s="696"/>
      <c r="I38" s="696"/>
      <c r="J38" s="696"/>
      <c r="K38" s="481">
        <f>SUM(F38:J38)</f>
        <v>0</v>
      </c>
      <c r="L38" s="477">
        <f>MAX(F38:J38)</f>
        <v>0</v>
      </c>
      <c r="M38" s="478">
        <f>SUM(K38*1000)+L38+0.23</f>
        <v>0.23</v>
      </c>
      <c r="N38" s="407" t="str">
        <f>IF(F38="","",RANK(M38,M6:M65,0))</f>
        <v/>
      </c>
      <c r="O38" s="481"/>
      <c r="P38" s="482"/>
      <c r="Q38" s="677"/>
      <c r="R38" s="882"/>
      <c r="S38" s="538"/>
      <c r="T38" s="528"/>
      <c r="U38" s="528"/>
      <c r="V38" s="528"/>
      <c r="W38" s="528"/>
      <c r="X38" s="528"/>
      <c r="Y38" s="528"/>
      <c r="Z38" s="528"/>
      <c r="AA38" s="681"/>
      <c r="AB38" s="539"/>
      <c r="AC38" s="532"/>
      <c r="AD38" s="863"/>
      <c r="AE38" s="504"/>
      <c r="AF38" s="504"/>
      <c r="AG38" s="282">
        <f t="shared" si="1"/>
        <v>33</v>
      </c>
      <c r="AH38" s="283" t="str">
        <f>IF(AF6&lt;33,"",VLOOKUP(33,B6:N65,4,FALSE))</f>
        <v/>
      </c>
      <c r="AI38" s="282" t="str">
        <f>IF(AF6&lt;33,"",VLOOKUP(33,B6:N65,10,FALSE))</f>
        <v/>
      </c>
      <c r="AJ38" s="561"/>
      <c r="AK38" s="561"/>
      <c r="AL38" s="561"/>
      <c r="AM38" s="561"/>
      <c r="AN38" s="561"/>
      <c r="AO38" s="561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</row>
    <row r="39" spans="1:52" ht="15" customHeight="1">
      <c r="A39" s="504"/>
      <c r="B39" s="280" t="str">
        <f>IF(F39="","",N39)</f>
        <v/>
      </c>
      <c r="C39" s="885"/>
      <c r="D39" s="898"/>
      <c r="E39" s="703"/>
      <c r="F39" s="696"/>
      <c r="G39" s="696"/>
      <c r="H39" s="696"/>
      <c r="I39" s="696"/>
      <c r="J39" s="696"/>
      <c r="K39" s="481">
        <f>SUM(F39:J39)</f>
        <v>0</v>
      </c>
      <c r="L39" s="477">
        <f>MAX(F39:J39)</f>
        <v>0</v>
      </c>
      <c r="M39" s="478">
        <f>SUM(K39*1000)+L39+0.21</f>
        <v>0.21</v>
      </c>
      <c r="N39" s="407" t="str">
        <f>IF(F39="","",RANK(M39,M6:M65,0))</f>
        <v/>
      </c>
      <c r="O39" s="481"/>
      <c r="P39" s="482"/>
      <c r="Q39" s="677"/>
      <c r="R39" s="882"/>
      <c r="S39" s="538"/>
      <c r="T39" s="528"/>
      <c r="U39" s="528"/>
      <c r="V39" s="528"/>
      <c r="W39" s="528"/>
      <c r="X39" s="528"/>
      <c r="Y39" s="528"/>
      <c r="Z39" s="528"/>
      <c r="AA39" s="681"/>
      <c r="AB39" s="539"/>
      <c r="AC39" s="532"/>
      <c r="AD39" s="863"/>
      <c r="AE39" s="504"/>
      <c r="AF39" s="504"/>
      <c r="AG39" s="282">
        <f t="shared" si="1"/>
        <v>34</v>
      </c>
      <c r="AH39" s="283" t="str">
        <f>IF(AF6&lt;34,"",VLOOKUP(34,B6:N65,4,FALSE))</f>
        <v/>
      </c>
      <c r="AI39" s="282" t="str">
        <f>IF(AF6&lt;34,"",VLOOKUP(34,B6:N65,10,FALSE))</f>
        <v/>
      </c>
      <c r="AJ39" s="561"/>
      <c r="AK39" s="561"/>
      <c r="AL39" s="561"/>
      <c r="AM39" s="561"/>
      <c r="AN39" s="561"/>
      <c r="AO39" s="561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</row>
    <row r="40" spans="1:52" ht="15" customHeight="1">
      <c r="A40" s="504"/>
      <c r="B40" s="280" t="str">
        <f>IF(F40="","",N40)</f>
        <v/>
      </c>
      <c r="C40" s="885"/>
      <c r="D40" s="899"/>
      <c r="E40" s="703"/>
      <c r="F40" s="697"/>
      <c r="G40" s="697"/>
      <c r="H40" s="697"/>
      <c r="I40" s="697"/>
      <c r="J40" s="697"/>
      <c r="K40" s="495">
        <f>SUM(F40:J40)</f>
        <v>0</v>
      </c>
      <c r="L40" s="493">
        <f>MAX(F40:J40)</f>
        <v>0</v>
      </c>
      <c r="M40" s="494">
        <f>SUM(K40*1000)+L40+0.2</f>
        <v>0.2</v>
      </c>
      <c r="N40" s="409" t="str">
        <f>IF(F40="","",RANK(M40,M6:M65,0))</f>
        <v/>
      </c>
      <c r="O40" s="495"/>
      <c r="P40" s="496"/>
      <c r="Q40" s="678"/>
      <c r="R40" s="883"/>
      <c r="S40" s="540"/>
      <c r="T40" s="529"/>
      <c r="U40" s="529"/>
      <c r="V40" s="529"/>
      <c r="W40" s="529"/>
      <c r="X40" s="529"/>
      <c r="Y40" s="529"/>
      <c r="Z40" s="529"/>
      <c r="AA40" s="682"/>
      <c r="AB40" s="541"/>
      <c r="AC40" s="536"/>
      <c r="AD40" s="864"/>
      <c r="AE40" s="504"/>
      <c r="AF40" s="504"/>
      <c r="AG40" s="282">
        <f t="shared" si="1"/>
        <v>35</v>
      </c>
      <c r="AH40" s="283" t="str">
        <f>IF(AF6&lt;35,"",VLOOKUP(35,B6:N65,4,FALSE))</f>
        <v/>
      </c>
      <c r="AI40" s="282" t="str">
        <f>IF(AF6&lt;35,"",VLOOKUP(35,B6:N65,10,FALSE))</f>
        <v/>
      </c>
      <c r="AJ40" s="561"/>
      <c r="AK40" s="561"/>
      <c r="AL40" s="561"/>
      <c r="AM40" s="561"/>
      <c r="AN40" s="561"/>
      <c r="AO40" s="561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</row>
    <row r="41" spans="1:52" ht="15" customHeight="1">
      <c r="A41" s="504"/>
      <c r="B41" s="504"/>
      <c r="C41" s="524"/>
      <c r="D41" s="519"/>
      <c r="E41" s="515"/>
      <c r="F41" s="522">
        <f>SUM(F36:F40)</f>
        <v>0</v>
      </c>
      <c r="G41" s="522">
        <f>SUM(G36:G40)</f>
        <v>0</v>
      </c>
      <c r="H41" s="522">
        <f>SUM(H36:H40)</f>
        <v>0</v>
      </c>
      <c r="I41" s="522">
        <f>SUM(I36:I40)</f>
        <v>0</v>
      </c>
      <c r="J41" s="522">
        <f>SUM(J36:J40)</f>
        <v>0</v>
      </c>
      <c r="K41" s="516"/>
      <c r="L41" s="516"/>
      <c r="M41" s="517"/>
      <c r="N41" s="516"/>
      <c r="O41" s="516">
        <f>SUM(F41:J41)</f>
        <v>0</v>
      </c>
      <c r="P41" s="516">
        <f>MAX(F41:J41)+0.005</f>
        <v>5.0000000000000001E-3</v>
      </c>
      <c r="Q41" s="675" t="str">
        <f>IF(F36="","",SUM(O41*1000)+P41)</f>
        <v/>
      </c>
      <c r="R41" s="518"/>
      <c r="S41" s="530"/>
      <c r="T41" s="530"/>
      <c r="U41" s="530"/>
      <c r="V41" s="530"/>
      <c r="W41" s="530"/>
      <c r="X41" s="530"/>
      <c r="Y41" s="530"/>
      <c r="Z41" s="530"/>
      <c r="AA41" s="683"/>
      <c r="AB41" s="530"/>
      <c r="AC41" s="893">
        <f>SUM(O35,O41)</f>
        <v>0</v>
      </c>
      <c r="AD41" s="893"/>
      <c r="AE41" s="504"/>
      <c r="AF41" s="504"/>
      <c r="AG41" s="282">
        <f t="shared" si="1"/>
        <v>36</v>
      </c>
      <c r="AH41" s="283" t="str">
        <f>IF(AF6&lt;36,"",VLOOKUP(36,B6:N65,4,FALSE))</f>
        <v/>
      </c>
      <c r="AI41" s="282" t="str">
        <f>IF(AF6&lt;36,"",VLOOKUP(36,B6:N65,10,FALSE))</f>
        <v/>
      </c>
      <c r="AJ41" s="561"/>
      <c r="AK41" s="561"/>
      <c r="AL41" s="561"/>
      <c r="AM41" s="561"/>
      <c r="AN41" s="561"/>
      <c r="AO41" s="561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</row>
    <row r="42" spans="1:52" ht="15" customHeight="1">
      <c r="A42" s="504"/>
      <c r="B42" s="280" t="str">
        <f>IF(F42="","",N42)</f>
        <v/>
      </c>
      <c r="C42" s="884">
        <v>7</v>
      </c>
      <c r="D42" s="903" t="s">
        <v>124</v>
      </c>
      <c r="E42" s="704"/>
      <c r="F42" s="695"/>
      <c r="G42" s="695"/>
      <c r="H42" s="695"/>
      <c r="I42" s="695"/>
      <c r="J42" s="695"/>
      <c r="K42" s="477">
        <f>SUM(F42:J42)</f>
        <v>0</v>
      </c>
      <c r="L42" s="477">
        <f>MAX(F42:J42)</f>
        <v>0</v>
      </c>
      <c r="M42" s="478">
        <f>SUM(K42*1000)+L42+0.19</f>
        <v>0.19</v>
      </c>
      <c r="N42" s="410" t="str">
        <f>IF(F42="","",RANK(M42,M6:M65,0))</f>
        <v/>
      </c>
      <c r="O42" s="477"/>
      <c r="P42" s="480"/>
      <c r="Q42" s="676"/>
      <c r="R42" s="881" t="str">
        <f>IF(F42="","",RANK(Q47,Q11:Q65,0))</f>
        <v/>
      </c>
      <c r="S42" s="537"/>
      <c r="T42" s="543" t="str">
        <f>IF(F42="","",RANK(AA42,AA6:AA64,0))</f>
        <v/>
      </c>
      <c r="U42" s="543" t="str">
        <f>IF(R42="","",R42)</f>
        <v/>
      </c>
      <c r="V42" s="544" t="str">
        <f>IF(D42="","",D42)</f>
        <v>ŘEPY I.</v>
      </c>
      <c r="W42" s="544">
        <f>IF(O47="","",O47)</f>
        <v>0</v>
      </c>
      <c r="X42" s="544" t="str">
        <f>IF(V42="HOSTIVAŘ I.","GARÁŽ HOSTIVAŘ",IF(V42="VRŠOVICE I.","GARÁŽ VRŠOVICE",IF(V42="KLÍČOV I.","GARÁŽ KLÍČOV",IF(V42="ŘEPY I.","GARÁŽ ŘEPY",IF(V42="KAČEROV I.","GARÁŽ KAČEROV","")))))</f>
        <v>GARÁŽ ŘEPY</v>
      </c>
      <c r="Y42" s="544">
        <f>MAX(F47:J47,F53:J53)+0.02</f>
        <v>0.02</v>
      </c>
      <c r="Z42" s="544">
        <f>SUM(O47,O53)*1000</f>
        <v>0</v>
      </c>
      <c r="AA42" s="655">
        <f>SUM(Y42:Z42)</f>
        <v>0.02</v>
      </c>
      <c r="AB42" s="545">
        <f>IF(AC53="","",AC53)</f>
        <v>0</v>
      </c>
      <c r="AC42" s="554"/>
      <c r="AD42" s="862" t="str">
        <f>IF(T42="","",T42)</f>
        <v/>
      </c>
      <c r="AE42" s="504"/>
      <c r="AF42" s="504"/>
      <c r="AG42" s="282">
        <f t="shared" si="1"/>
        <v>37</v>
      </c>
      <c r="AH42" s="283" t="str">
        <f>IF(AF6&lt;37,"",VLOOKUP(37,B6:N65,4,FALSE))</f>
        <v/>
      </c>
      <c r="AI42" s="282" t="str">
        <f>IF(AF6&lt;37,"",VLOOKUP(37,B6:N65,10,FALSE))</f>
        <v/>
      </c>
      <c r="AJ42" s="561"/>
      <c r="AK42" s="561"/>
      <c r="AL42" s="561"/>
      <c r="AM42" s="561"/>
      <c r="AN42" s="561"/>
      <c r="AO42" s="561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</row>
    <row r="43" spans="1:52" ht="15" customHeight="1">
      <c r="A43" s="504"/>
      <c r="B43" s="280" t="str">
        <f>IF(F43="","",N43)</f>
        <v/>
      </c>
      <c r="C43" s="885"/>
      <c r="D43" s="904"/>
      <c r="E43" s="703"/>
      <c r="F43" s="696"/>
      <c r="G43" s="696"/>
      <c r="H43" s="696"/>
      <c r="I43" s="696"/>
      <c r="J43" s="696"/>
      <c r="K43" s="481">
        <f>SUM(F43:J43)</f>
        <v>0</v>
      </c>
      <c r="L43" s="477">
        <f>MAX(F43:J43)</f>
        <v>0</v>
      </c>
      <c r="M43" s="478">
        <f>SUM(K43*1000)+L43+0.18</f>
        <v>0.18</v>
      </c>
      <c r="N43" s="407" t="str">
        <f>IF(F43="","",RANK(M43,M6:M65,0))</f>
        <v/>
      </c>
      <c r="O43" s="481"/>
      <c r="P43" s="482"/>
      <c r="Q43" s="677"/>
      <c r="R43" s="882"/>
      <c r="S43" s="538"/>
      <c r="T43" s="528"/>
      <c r="U43" s="528"/>
      <c r="V43" s="528"/>
      <c r="W43" s="528"/>
      <c r="X43" s="528"/>
      <c r="Y43" s="528"/>
      <c r="Z43" s="528"/>
      <c r="AA43" s="681"/>
      <c r="AB43" s="539"/>
      <c r="AC43" s="555"/>
      <c r="AD43" s="863"/>
      <c r="AE43" s="504"/>
      <c r="AF43" s="504"/>
      <c r="AG43" s="282">
        <f t="shared" si="1"/>
        <v>38</v>
      </c>
      <c r="AH43" s="283" t="str">
        <f>IF(AF6&lt;38,"",VLOOKUP(38,B6:N65,4,FALSE))</f>
        <v/>
      </c>
      <c r="AI43" s="282" t="str">
        <f>IF(AF6&lt;38,"",VLOOKUP(38,B6:N65,10,FALSE))</f>
        <v/>
      </c>
      <c r="AJ43" s="561"/>
      <c r="AK43" s="561"/>
      <c r="AL43" s="561"/>
      <c r="AM43" s="561"/>
      <c r="AN43" s="561"/>
      <c r="AO43" s="561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</row>
    <row r="44" spans="1:52" ht="15" customHeight="1">
      <c r="A44" s="504"/>
      <c r="B44" s="280" t="str">
        <f>IF(F44="","",N44)</f>
        <v/>
      </c>
      <c r="C44" s="885"/>
      <c r="D44" s="904"/>
      <c r="E44" s="703"/>
      <c r="F44" s="696"/>
      <c r="G44" s="696"/>
      <c r="H44" s="696"/>
      <c r="I44" s="696"/>
      <c r="J44" s="696"/>
      <c r="K44" s="481">
        <f>SUM(F44:J44)</f>
        <v>0</v>
      </c>
      <c r="L44" s="477">
        <f>MAX(F44:J44)</f>
        <v>0</v>
      </c>
      <c r="M44" s="478">
        <f>SUM(K44*1000)+L44+0.17</f>
        <v>0.17</v>
      </c>
      <c r="N44" s="407" t="str">
        <f>IF(F44="","",RANK(M44,M6:M65,0))</f>
        <v/>
      </c>
      <c r="O44" s="481"/>
      <c r="P44" s="482"/>
      <c r="Q44" s="677"/>
      <c r="R44" s="882"/>
      <c r="S44" s="538"/>
      <c r="T44" s="528"/>
      <c r="U44" s="528"/>
      <c r="V44" s="528"/>
      <c r="W44" s="528"/>
      <c r="X44" s="528"/>
      <c r="Y44" s="528"/>
      <c r="Z44" s="528"/>
      <c r="AA44" s="681"/>
      <c r="AB44" s="539"/>
      <c r="AC44" s="555"/>
      <c r="AD44" s="863"/>
      <c r="AE44" s="504"/>
      <c r="AF44" s="504"/>
      <c r="AG44" s="282">
        <f t="shared" si="1"/>
        <v>39</v>
      </c>
      <c r="AH44" s="283" t="str">
        <f>IF(AF6&lt;39,"",VLOOKUP(39,B6:N65,4,FALSE))</f>
        <v/>
      </c>
      <c r="AI44" s="282" t="str">
        <f>IF(AF6&lt;39,"",VLOOKUP(39,B6:N65,10,FALSE))</f>
        <v/>
      </c>
      <c r="AJ44" s="561"/>
      <c r="AK44" s="561"/>
      <c r="AL44" s="561"/>
      <c r="AM44" s="561"/>
      <c r="AN44" s="561"/>
      <c r="AO44" s="561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</row>
    <row r="45" spans="1:52" ht="15" customHeight="1">
      <c r="A45" s="504"/>
      <c r="B45" s="280" t="str">
        <f>IF(F45="","",N45)</f>
        <v/>
      </c>
      <c r="C45" s="885"/>
      <c r="D45" s="904"/>
      <c r="E45" s="703"/>
      <c r="F45" s="696"/>
      <c r="G45" s="696"/>
      <c r="H45" s="696"/>
      <c r="I45" s="696"/>
      <c r="J45" s="696"/>
      <c r="K45" s="481">
        <f>SUM(F45:J45)</f>
        <v>0</v>
      </c>
      <c r="L45" s="477">
        <f>MAX(F45:J45)</f>
        <v>0</v>
      </c>
      <c r="M45" s="478">
        <f>SUM(K45*1000)+L45+0.16</f>
        <v>0.16</v>
      </c>
      <c r="N45" s="407" t="str">
        <f>IF(F45="","",RANK(M45,M6:M65,0))</f>
        <v/>
      </c>
      <c r="O45" s="481"/>
      <c r="P45" s="482"/>
      <c r="Q45" s="677"/>
      <c r="R45" s="882"/>
      <c r="S45" s="538"/>
      <c r="T45" s="528"/>
      <c r="U45" s="528"/>
      <c r="V45" s="528"/>
      <c r="W45" s="528"/>
      <c r="X45" s="528"/>
      <c r="Y45" s="528"/>
      <c r="Z45" s="528"/>
      <c r="AA45" s="681"/>
      <c r="AB45" s="539"/>
      <c r="AC45" s="555"/>
      <c r="AD45" s="863"/>
      <c r="AE45" s="504"/>
      <c r="AF45" s="504"/>
      <c r="AG45" s="282">
        <f t="shared" si="1"/>
        <v>40</v>
      </c>
      <c r="AH45" s="283" t="str">
        <f>IF(AF6&lt;40,"",VLOOKUP(40,B6:N65,4,FALSE))</f>
        <v/>
      </c>
      <c r="AI45" s="282" t="str">
        <f>IF(AF6&lt;40,"",VLOOKUP(40,B6:N65,10,FALSE))</f>
        <v/>
      </c>
      <c r="AJ45" s="561"/>
      <c r="AK45" s="561"/>
      <c r="AL45" s="561"/>
      <c r="AM45" s="561"/>
      <c r="AN45" s="561"/>
      <c r="AO45" s="561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</row>
    <row r="46" spans="1:52" ht="15" customHeight="1">
      <c r="A46" s="504"/>
      <c r="B46" s="280" t="str">
        <f>IF(F46="","",N46)</f>
        <v/>
      </c>
      <c r="C46" s="885"/>
      <c r="D46" s="905"/>
      <c r="E46" s="703"/>
      <c r="F46" s="697"/>
      <c r="G46" s="697"/>
      <c r="H46" s="697"/>
      <c r="I46" s="697"/>
      <c r="J46" s="697"/>
      <c r="K46" s="495">
        <f>SUM(F46:J46)</f>
        <v>0</v>
      </c>
      <c r="L46" s="493">
        <f>MAX(F46:J46)</f>
        <v>0</v>
      </c>
      <c r="M46" s="494">
        <f>SUM(K46*1000)+L46+0.15</f>
        <v>0.15</v>
      </c>
      <c r="N46" s="409" t="str">
        <f>IF(F46="","",RANK(M46,M6:M65,0))</f>
        <v/>
      </c>
      <c r="O46" s="495"/>
      <c r="P46" s="496"/>
      <c r="Q46" s="678"/>
      <c r="R46" s="883"/>
      <c r="S46" s="540"/>
      <c r="T46" s="529"/>
      <c r="U46" s="529"/>
      <c r="V46" s="529"/>
      <c r="W46" s="529"/>
      <c r="X46" s="529"/>
      <c r="Y46" s="529"/>
      <c r="Z46" s="529"/>
      <c r="AA46" s="682"/>
      <c r="AB46" s="541"/>
      <c r="AC46" s="555"/>
      <c r="AD46" s="863"/>
      <c r="AE46" s="504"/>
      <c r="AF46" s="504"/>
      <c r="AG46" s="282">
        <f t="shared" si="1"/>
        <v>41</v>
      </c>
      <c r="AH46" s="283" t="str">
        <f>IF(AF6&lt;41,"",VLOOKUP(41,B6:N65,4,FALSE))</f>
        <v/>
      </c>
      <c r="AI46" s="282" t="str">
        <f>IF(AF6&lt;41,"",VLOOKUP(41,B6:N65,10,FALSE))</f>
        <v/>
      </c>
      <c r="AJ46" s="561"/>
      <c r="AK46" s="561"/>
      <c r="AL46" s="561"/>
      <c r="AM46" s="561"/>
      <c r="AN46" s="561"/>
      <c r="AO46" s="561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</row>
    <row r="47" spans="1:52" ht="15" customHeight="1">
      <c r="A47" s="504"/>
      <c r="B47" s="280"/>
      <c r="C47" s="525"/>
      <c r="D47" s="412"/>
      <c r="E47" s="497"/>
      <c r="F47" s="498">
        <f>SUM(F42:F46)</f>
        <v>0</v>
      </c>
      <c r="G47" s="498">
        <f>SUM(G42:G46)</f>
        <v>0</v>
      </c>
      <c r="H47" s="498">
        <f>SUM(H42:H46)</f>
        <v>0</v>
      </c>
      <c r="I47" s="498">
        <f>SUM(I42:I46)</f>
        <v>0</v>
      </c>
      <c r="J47" s="498">
        <f>SUM(J42:J46)</f>
        <v>0</v>
      </c>
      <c r="K47" s="499"/>
      <c r="L47" s="499"/>
      <c r="M47" s="502"/>
      <c r="N47" s="499"/>
      <c r="O47" s="499">
        <f>SUM(F47:J47)</f>
        <v>0</v>
      </c>
      <c r="P47" s="499">
        <f>MAX(F47:J47)+0.004</f>
        <v>4.0000000000000001E-3</v>
      </c>
      <c r="Q47" s="679" t="str">
        <f>IF(F42="","",SUM(O47*1000)+P47)</f>
        <v/>
      </c>
      <c r="R47" s="468"/>
      <c r="S47" s="530"/>
      <c r="T47" s="530"/>
      <c r="U47" s="530"/>
      <c r="V47" s="530"/>
      <c r="W47" s="530"/>
      <c r="X47" s="530"/>
      <c r="Y47" s="530"/>
      <c r="Z47" s="530"/>
      <c r="AA47" s="683"/>
      <c r="AB47" s="530"/>
      <c r="AC47" s="532"/>
      <c r="AD47" s="863"/>
      <c r="AE47" s="504"/>
      <c r="AF47" s="504"/>
      <c r="AG47" s="282">
        <f t="shared" si="1"/>
        <v>42</v>
      </c>
      <c r="AH47" s="283" t="str">
        <f>IF(AF6&lt;42,"",VLOOKUP(42,B6:N65,4,FALSE))</f>
        <v/>
      </c>
      <c r="AI47" s="282" t="str">
        <f>IF(AF6&lt;42,"",VLOOKUP(42,B6:N65,10,FALSE))</f>
        <v/>
      </c>
      <c r="AJ47" s="561"/>
      <c r="AK47" s="561"/>
      <c r="AL47" s="561"/>
      <c r="AM47" s="561"/>
      <c r="AN47" s="561"/>
      <c r="AO47" s="561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</row>
    <row r="48" spans="1:52" ht="15" customHeight="1">
      <c r="A48" s="504"/>
      <c r="B48" s="280" t="str">
        <f>IF(F48="","",N48)</f>
        <v/>
      </c>
      <c r="C48" s="884">
        <v>8</v>
      </c>
      <c r="D48" s="903" t="s">
        <v>127</v>
      </c>
      <c r="E48" s="704"/>
      <c r="F48" s="695"/>
      <c r="G48" s="695"/>
      <c r="H48" s="695"/>
      <c r="I48" s="695"/>
      <c r="J48" s="695"/>
      <c r="K48" s="477">
        <f>SUM(F48:J48)</f>
        <v>0</v>
      </c>
      <c r="L48" s="477">
        <f>MAX(F48:J48)</f>
        <v>0</v>
      </c>
      <c r="M48" s="478">
        <f>SUM(K48*1000)+L48+0.14</f>
        <v>0.14000000000000001</v>
      </c>
      <c r="N48" s="410" t="str">
        <f>IF(F48="","",RANK(M48,M6:M65,0))</f>
        <v/>
      </c>
      <c r="O48" s="477"/>
      <c r="P48" s="480"/>
      <c r="Q48" s="676"/>
      <c r="R48" s="890" t="str">
        <f>IF(F48="","",RANK(Q53,Q11:Q65,0))</f>
        <v/>
      </c>
      <c r="S48" s="537"/>
      <c r="T48" s="527"/>
      <c r="U48" s="543" t="str">
        <f>IF(R48="","",R48)</f>
        <v/>
      </c>
      <c r="V48" s="544" t="str">
        <f>IF(D48="","",D48)</f>
        <v>ŘEPY II.</v>
      </c>
      <c r="W48" s="547">
        <f>IF(O53="","",O53)</f>
        <v>0</v>
      </c>
      <c r="X48" s="527"/>
      <c r="Y48" s="527"/>
      <c r="Z48" s="527"/>
      <c r="AA48" s="684"/>
      <c r="AB48" s="548"/>
      <c r="AC48" s="555"/>
      <c r="AD48" s="863"/>
      <c r="AE48" s="504"/>
      <c r="AF48" s="504"/>
      <c r="AG48" s="282">
        <f t="shared" si="1"/>
        <v>43</v>
      </c>
      <c r="AH48" s="283" t="str">
        <f>IF(AF6&lt;43,"",VLOOKUP(43,B6:N65,4,FALSE))</f>
        <v/>
      </c>
      <c r="AI48" s="282" t="str">
        <f>IF(AF6&lt;43,"",VLOOKUP(43,B6:N65,10,FALSE))</f>
        <v/>
      </c>
      <c r="AJ48" s="561"/>
      <c r="AK48" s="561"/>
      <c r="AL48" s="561"/>
      <c r="AM48" s="561"/>
      <c r="AN48" s="561"/>
      <c r="AO48" s="561"/>
      <c r="AP48" s="506"/>
      <c r="AQ48" s="506"/>
      <c r="AR48" s="506"/>
      <c r="AS48" s="506"/>
      <c r="AT48" s="506"/>
      <c r="AU48" s="506"/>
      <c r="AV48" s="506"/>
      <c r="AW48" s="506"/>
      <c r="AX48" s="506"/>
      <c r="AY48" s="506"/>
      <c r="AZ48" s="506"/>
    </row>
    <row r="49" spans="1:52" ht="15" customHeight="1">
      <c r="A49" s="504"/>
      <c r="B49" s="280" t="str">
        <f>IF(F49="","",N49)</f>
        <v/>
      </c>
      <c r="C49" s="885"/>
      <c r="D49" s="904"/>
      <c r="E49" s="703"/>
      <c r="F49" s="696"/>
      <c r="G49" s="696"/>
      <c r="H49" s="696"/>
      <c r="I49" s="696"/>
      <c r="J49" s="696"/>
      <c r="K49" s="481">
        <f>SUM(F49:J49)</f>
        <v>0</v>
      </c>
      <c r="L49" s="477">
        <f>MAX(F49:J49)</f>
        <v>0</v>
      </c>
      <c r="M49" s="478">
        <f>SUM(K49*1000)+L49+0.13</f>
        <v>0.13</v>
      </c>
      <c r="N49" s="407" t="str">
        <f>IF(F49="","",RANK(M49,M6:M65,0))</f>
        <v/>
      </c>
      <c r="O49" s="481"/>
      <c r="P49" s="482"/>
      <c r="Q49" s="677"/>
      <c r="R49" s="891"/>
      <c r="S49" s="538"/>
      <c r="T49" s="528"/>
      <c r="U49" s="528"/>
      <c r="V49" s="528"/>
      <c r="W49" s="528"/>
      <c r="X49" s="528"/>
      <c r="Y49" s="528"/>
      <c r="Z49" s="528"/>
      <c r="AA49" s="681"/>
      <c r="AB49" s="539"/>
      <c r="AC49" s="555"/>
      <c r="AD49" s="863"/>
      <c r="AE49" s="504"/>
      <c r="AF49" s="504"/>
      <c r="AG49" s="282">
        <f t="shared" si="1"/>
        <v>44</v>
      </c>
      <c r="AH49" s="283" t="str">
        <f>IF(AF6&lt;44,"",VLOOKUP(44,B6:N65,4,FALSE))</f>
        <v/>
      </c>
      <c r="AI49" s="282" t="str">
        <f>IF(AF6&lt;44,"",VLOOKUP(44,B6:N65,10,FALSE))</f>
        <v/>
      </c>
      <c r="AJ49" s="561"/>
      <c r="AK49" s="561"/>
      <c r="AL49" s="505"/>
      <c r="AM49" s="505"/>
      <c r="AN49" s="505"/>
      <c r="AO49" s="561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</row>
    <row r="50" spans="1:52" ht="15" customHeight="1">
      <c r="A50" s="504"/>
      <c r="B50" s="280" t="str">
        <f>IF(F50="","",N50)</f>
        <v/>
      </c>
      <c r="C50" s="885"/>
      <c r="D50" s="904"/>
      <c r="E50" s="703"/>
      <c r="F50" s="696"/>
      <c r="G50" s="696"/>
      <c r="H50" s="696"/>
      <c r="I50" s="696"/>
      <c r="J50" s="696"/>
      <c r="K50" s="481">
        <f>SUM(F50:J50)</f>
        <v>0</v>
      </c>
      <c r="L50" s="477">
        <f>MAX(F50:J50)</f>
        <v>0</v>
      </c>
      <c r="M50" s="478">
        <f>SUM(K50*1000)+L50+0.12</f>
        <v>0.12</v>
      </c>
      <c r="N50" s="407" t="str">
        <f>IF(F50="","",RANK(M50,M6:M65,0))</f>
        <v/>
      </c>
      <c r="O50" s="481"/>
      <c r="P50" s="482"/>
      <c r="Q50" s="677"/>
      <c r="R50" s="891"/>
      <c r="S50" s="538"/>
      <c r="T50" s="528"/>
      <c r="U50" s="528"/>
      <c r="V50" s="528"/>
      <c r="W50" s="528"/>
      <c r="X50" s="528"/>
      <c r="Y50" s="528"/>
      <c r="Z50" s="528"/>
      <c r="AA50" s="681"/>
      <c r="AB50" s="539"/>
      <c r="AC50" s="555"/>
      <c r="AD50" s="863"/>
      <c r="AE50" s="504"/>
      <c r="AF50" s="504"/>
      <c r="AG50" s="282">
        <f t="shared" si="1"/>
        <v>45</v>
      </c>
      <c r="AH50" s="283" t="str">
        <f>IF(AF6&lt;45,"",VLOOKUP(45,B6:N65,4,FALSE))</f>
        <v/>
      </c>
      <c r="AI50" s="282" t="str">
        <f>IF(AF6&lt;45,"",VLOOKUP(45,B6:N65,10,FALSE))</f>
        <v/>
      </c>
      <c r="AJ50" s="561"/>
      <c r="AK50" s="561"/>
      <c r="AL50" s="505"/>
      <c r="AM50" s="505"/>
      <c r="AN50" s="505"/>
      <c r="AO50" s="561"/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</row>
    <row r="51" spans="1:52" ht="15" customHeight="1">
      <c r="A51" s="504"/>
      <c r="B51" s="280" t="str">
        <f>IF(F51="","",N51)</f>
        <v/>
      </c>
      <c r="C51" s="885"/>
      <c r="D51" s="904"/>
      <c r="E51" s="703"/>
      <c r="F51" s="696"/>
      <c r="G51" s="696"/>
      <c r="H51" s="696"/>
      <c r="I51" s="696"/>
      <c r="J51" s="696"/>
      <c r="K51" s="481">
        <f>SUM(F51:J51)</f>
        <v>0</v>
      </c>
      <c r="L51" s="477">
        <f>MAX(F51:J51)</f>
        <v>0</v>
      </c>
      <c r="M51" s="478">
        <f>SUM(K51*1000)+L51+0.11</f>
        <v>0.11</v>
      </c>
      <c r="N51" s="407" t="str">
        <f>IF(F51="","",RANK(M51,M6:M65,0))</f>
        <v/>
      </c>
      <c r="O51" s="481"/>
      <c r="P51" s="482"/>
      <c r="Q51" s="677"/>
      <c r="R51" s="891"/>
      <c r="S51" s="538"/>
      <c r="T51" s="528"/>
      <c r="U51" s="528"/>
      <c r="V51" s="528"/>
      <c r="W51" s="528"/>
      <c r="X51" s="528"/>
      <c r="Y51" s="528"/>
      <c r="Z51" s="528"/>
      <c r="AA51" s="681"/>
      <c r="AB51" s="539"/>
      <c r="AC51" s="555"/>
      <c r="AD51" s="863"/>
      <c r="AE51" s="504"/>
      <c r="AF51" s="504"/>
      <c r="AG51" s="282">
        <f t="shared" si="1"/>
        <v>46</v>
      </c>
      <c r="AH51" s="283" t="str">
        <f>IF(AF6&lt;46,"",VLOOKUP(46,B6:N65,4,FALSE))</f>
        <v/>
      </c>
      <c r="AI51" s="282" t="str">
        <f>IF(AF6&lt;46,"",VLOOKUP(46,B6:N65,10,FALSE))</f>
        <v/>
      </c>
      <c r="AJ51" s="561"/>
      <c r="AK51" s="561"/>
      <c r="AL51" s="505"/>
      <c r="AM51" s="505"/>
      <c r="AN51" s="505"/>
      <c r="AO51" s="561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</row>
    <row r="52" spans="1:52" ht="15" customHeight="1">
      <c r="A52" s="504"/>
      <c r="B52" s="280" t="str">
        <f>IF(F52="","",N52)</f>
        <v/>
      </c>
      <c r="C52" s="885"/>
      <c r="D52" s="904"/>
      <c r="E52" s="703"/>
      <c r="F52" s="697"/>
      <c r="G52" s="697"/>
      <c r="H52" s="697"/>
      <c r="I52" s="697"/>
      <c r="J52" s="697"/>
      <c r="K52" s="495">
        <f>SUM(F52:J52)</f>
        <v>0</v>
      </c>
      <c r="L52" s="493">
        <f>MAX(F52:J52)</f>
        <v>0</v>
      </c>
      <c r="M52" s="494">
        <f>SUM(K52*1000)+L52+0.1</f>
        <v>0.1</v>
      </c>
      <c r="N52" s="409" t="str">
        <f>IF(F52="","",RANK(M52,M6:M65,0))</f>
        <v/>
      </c>
      <c r="O52" s="495"/>
      <c r="P52" s="496"/>
      <c r="Q52" s="678"/>
      <c r="R52" s="892"/>
      <c r="S52" s="540"/>
      <c r="T52" s="529"/>
      <c r="U52" s="529"/>
      <c r="V52" s="529"/>
      <c r="W52" s="529"/>
      <c r="X52" s="529"/>
      <c r="Y52" s="529"/>
      <c r="Z52" s="529"/>
      <c r="AA52" s="682"/>
      <c r="AB52" s="541"/>
      <c r="AC52" s="542"/>
      <c r="AD52" s="864"/>
      <c r="AE52" s="504"/>
      <c r="AF52" s="504"/>
      <c r="AG52" s="282">
        <f t="shared" si="1"/>
        <v>47</v>
      </c>
      <c r="AH52" s="283" t="str">
        <f>IF(AF6&lt;47,"",VLOOKUP(47,B6:N65,4,FALSE))</f>
        <v/>
      </c>
      <c r="AI52" s="282" t="str">
        <f>IF(AF6&lt;47,"",VLOOKUP(47,B6:N65,10,FALSE))</f>
        <v/>
      </c>
      <c r="AJ52" s="561"/>
      <c r="AK52" s="561"/>
      <c r="AL52" s="505"/>
      <c r="AM52" s="505"/>
      <c r="AN52" s="505"/>
      <c r="AO52" s="561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</row>
    <row r="53" spans="1:52" ht="15" customHeight="1">
      <c r="A53" s="504"/>
      <c r="B53" s="504"/>
      <c r="C53" s="524"/>
      <c r="D53" s="514"/>
      <c r="E53" s="515"/>
      <c r="F53" s="522">
        <f>SUM(F48:F52)</f>
        <v>0</v>
      </c>
      <c r="G53" s="522">
        <f>SUM(G48:G52)</f>
        <v>0</v>
      </c>
      <c r="H53" s="522">
        <f>SUM(H48:H52)</f>
        <v>0</v>
      </c>
      <c r="I53" s="522">
        <f>SUM(I48:I52)</f>
        <v>0</v>
      </c>
      <c r="J53" s="522">
        <f>SUM(J48:J52)</f>
        <v>0</v>
      </c>
      <c r="K53" s="516"/>
      <c r="L53" s="516"/>
      <c r="M53" s="517"/>
      <c r="N53" s="516"/>
      <c r="O53" s="516">
        <f>SUM(F53:J53)</f>
        <v>0</v>
      </c>
      <c r="P53" s="516">
        <f>MAX(F53:J53)+0.003</f>
        <v>3.0000000000000001E-3</v>
      </c>
      <c r="Q53" s="675" t="str">
        <f>IF(F48="","",SUM(O53*1000)+P53)</f>
        <v/>
      </c>
      <c r="R53" s="518"/>
      <c r="S53" s="552"/>
      <c r="T53" s="553"/>
      <c r="U53" s="553"/>
      <c r="V53" s="553"/>
      <c r="W53" s="553"/>
      <c r="X53" s="553"/>
      <c r="Y53" s="553"/>
      <c r="Z53" s="553"/>
      <c r="AA53" s="686"/>
      <c r="AB53" s="553"/>
      <c r="AC53" s="893">
        <f>SUM(O47,O53)</f>
        <v>0</v>
      </c>
      <c r="AD53" s="893"/>
      <c r="AE53" s="504"/>
      <c r="AF53" s="504"/>
      <c r="AG53" s="282">
        <f t="shared" si="1"/>
        <v>48</v>
      </c>
      <c r="AH53" s="283" t="str">
        <f>IF(AF6&lt;48,"",VLOOKUP(48,B6:N65,4,FALSE))</f>
        <v/>
      </c>
      <c r="AI53" s="282" t="str">
        <f>IF(AF6&lt;48,"",VLOOKUP(48,B6:N65,10,FALSE))</f>
        <v/>
      </c>
      <c r="AJ53" s="561"/>
      <c r="AK53" s="561"/>
      <c r="AL53" s="505"/>
      <c r="AM53" s="505"/>
      <c r="AN53" s="505"/>
      <c r="AO53" s="561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</row>
    <row r="54" spans="1:52" ht="15" customHeight="1">
      <c r="A54" s="504"/>
      <c r="B54" s="280" t="str">
        <f>IF(F54="","",N54)</f>
        <v/>
      </c>
      <c r="C54" s="884">
        <v>9</v>
      </c>
      <c r="D54" s="875" t="s">
        <v>131</v>
      </c>
      <c r="E54" s="704"/>
      <c r="F54" s="695"/>
      <c r="G54" s="695"/>
      <c r="H54" s="695"/>
      <c r="I54" s="695"/>
      <c r="J54" s="695"/>
      <c r="K54" s="477">
        <f>SUM(F54:J54)</f>
        <v>0</v>
      </c>
      <c r="L54" s="477">
        <f>MAX(F54:J54)</f>
        <v>0</v>
      </c>
      <c r="M54" s="478">
        <f>SUM(K54*1000)+L54+0.09</f>
        <v>0.09</v>
      </c>
      <c r="N54" s="410" t="str">
        <f>IF(F54="","",RANK(M54,M6:M65,0))</f>
        <v/>
      </c>
      <c r="O54" s="477"/>
      <c r="P54" s="480"/>
      <c r="Q54" s="676"/>
      <c r="R54" s="881" t="str">
        <f>IF(F54="","",RANK(Q59,Q11:Q65,0))</f>
        <v/>
      </c>
      <c r="S54" s="537"/>
      <c r="T54" s="546" t="str">
        <f>IF(F54="","",RANK(AA54,AA6:AA64,0))</f>
        <v/>
      </c>
      <c r="U54" s="543" t="str">
        <f>IF(R54="","",R54)</f>
        <v/>
      </c>
      <c r="V54" s="544" t="str">
        <f>IF(D54="","",D54)</f>
        <v>KAČEROV I.</v>
      </c>
      <c r="W54" s="544">
        <f>IF(O59="","",O59)</f>
        <v>0</v>
      </c>
      <c r="X54" s="544" t="str">
        <f>IF(V54="HOSTIVAŘ I.","GARÁŽ HOSTIVAŘ",IF(V54="VRŠOVICE I.","GARÁŽ VRŠOVICE",IF(V54="KLÍČOV I.","GARÁŽ KLÍČOV",IF(V54="ŘEPY I.","GARÁŽ ŘEPY",IF(V54="KAČEROV I.","GARÁŽ KAČEROV","")))))</f>
        <v>GARÁŽ KAČEROV</v>
      </c>
      <c r="Y54" s="544">
        <f>MAX(F59:J59,F65:J65)+0.01</f>
        <v>0.01</v>
      </c>
      <c r="Z54" s="544">
        <f>SUM(O59,O65)*1000</f>
        <v>0</v>
      </c>
      <c r="AA54" s="655">
        <f>SUM(Y54:Z54)</f>
        <v>0.01</v>
      </c>
      <c r="AB54" s="545">
        <f>IF(AC65="","",AC65)</f>
        <v>0</v>
      </c>
      <c r="AC54" s="554"/>
      <c r="AD54" s="862" t="str">
        <f>IF(T54="","",T54)</f>
        <v/>
      </c>
      <c r="AE54" s="504"/>
      <c r="AF54" s="504"/>
      <c r="AG54" s="282">
        <f t="shared" si="1"/>
        <v>49</v>
      </c>
      <c r="AH54" s="283" t="str">
        <f>IF(AF6&lt;49,"",VLOOKUP(49,B6:N65,4,FALSE))</f>
        <v/>
      </c>
      <c r="AI54" s="282" t="str">
        <f>IF(AF6&lt;49,"",VLOOKUP(49,B6:N65,10,FALSE))</f>
        <v/>
      </c>
      <c r="AJ54" s="561"/>
      <c r="AK54" s="505"/>
      <c r="AL54" s="505"/>
      <c r="AM54" s="505"/>
      <c r="AN54" s="505"/>
      <c r="AO54" s="561"/>
      <c r="AP54" s="506"/>
      <c r="AQ54" s="506"/>
      <c r="AR54" s="506"/>
      <c r="AS54" s="506"/>
      <c r="AT54" s="506"/>
      <c r="AU54" s="506"/>
      <c r="AV54" s="506"/>
      <c r="AW54" s="506"/>
      <c r="AX54" s="506"/>
      <c r="AY54" s="506"/>
      <c r="AZ54" s="506"/>
    </row>
    <row r="55" spans="1:52" ht="15" customHeight="1">
      <c r="A55" s="504"/>
      <c r="B55" s="280" t="str">
        <f>IF(F55="","",N55)</f>
        <v/>
      </c>
      <c r="C55" s="885"/>
      <c r="D55" s="876"/>
      <c r="E55" s="703"/>
      <c r="F55" s="696"/>
      <c r="G55" s="696"/>
      <c r="H55" s="696"/>
      <c r="I55" s="696"/>
      <c r="J55" s="696"/>
      <c r="K55" s="481">
        <f>SUM(F55:J55)</f>
        <v>0</v>
      </c>
      <c r="L55" s="477">
        <f>MAX(F55:J55)</f>
        <v>0</v>
      </c>
      <c r="M55" s="478">
        <f>SUM(K55*1000)+L55+0.08</f>
        <v>0.08</v>
      </c>
      <c r="N55" s="407" t="str">
        <f>IF(F55="","",RANK(M55,M6:M65,0))</f>
        <v/>
      </c>
      <c r="O55" s="481"/>
      <c r="P55" s="482"/>
      <c r="Q55" s="677"/>
      <c r="R55" s="882"/>
      <c r="S55" s="538"/>
      <c r="T55" s="528"/>
      <c r="U55" s="528"/>
      <c r="V55" s="528"/>
      <c r="W55" s="528"/>
      <c r="X55" s="528"/>
      <c r="Y55" s="528"/>
      <c r="Z55" s="528"/>
      <c r="AA55" s="681"/>
      <c r="AB55" s="539"/>
      <c r="AC55" s="555"/>
      <c r="AD55" s="863"/>
      <c r="AE55" s="504"/>
      <c r="AF55" s="504"/>
      <c r="AG55" s="282">
        <f t="shared" si="1"/>
        <v>50</v>
      </c>
      <c r="AH55" s="283" t="str">
        <f>IF(AF6&lt;50,"",VLOOKUP(50,B6:N65,4,FALSE))</f>
        <v/>
      </c>
      <c r="AI55" s="282" t="str">
        <f>IF(AF6&lt;50,"",VLOOKUP(50,B6:N65,10,FALSE))</f>
        <v/>
      </c>
      <c r="AJ55" s="561"/>
      <c r="AK55" s="505"/>
      <c r="AL55" s="505"/>
      <c r="AM55" s="505"/>
      <c r="AN55" s="505"/>
      <c r="AO55" s="561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</row>
    <row r="56" spans="1:52" ht="15" customHeight="1">
      <c r="A56" s="504"/>
      <c r="B56" s="280" t="str">
        <f>IF(F56="","",N56)</f>
        <v/>
      </c>
      <c r="C56" s="885"/>
      <c r="D56" s="876"/>
      <c r="E56" s="703"/>
      <c r="F56" s="696"/>
      <c r="G56" s="696"/>
      <c r="H56" s="696"/>
      <c r="I56" s="696"/>
      <c r="J56" s="696"/>
      <c r="K56" s="481">
        <f>SUM(F56:J56)</f>
        <v>0</v>
      </c>
      <c r="L56" s="477">
        <f>MAX(F56:J56)</f>
        <v>0</v>
      </c>
      <c r="M56" s="478">
        <f>SUM(K56*1000)+L56+0.07</f>
        <v>7.0000000000000007E-2</v>
      </c>
      <c r="N56" s="407" t="str">
        <f>IF(F56="","",RANK(M56,M6:M65,0))</f>
        <v/>
      </c>
      <c r="O56" s="481"/>
      <c r="P56" s="482"/>
      <c r="Q56" s="677"/>
      <c r="R56" s="882"/>
      <c r="S56" s="538"/>
      <c r="T56" s="528"/>
      <c r="U56" s="528"/>
      <c r="V56" s="528"/>
      <c r="W56" s="528"/>
      <c r="X56" s="528"/>
      <c r="Y56" s="528"/>
      <c r="Z56" s="528"/>
      <c r="AA56" s="681"/>
      <c r="AB56" s="539"/>
      <c r="AC56" s="555"/>
      <c r="AD56" s="863"/>
      <c r="AE56" s="504"/>
      <c r="AF56" s="504"/>
      <c r="AG56" s="504"/>
      <c r="AH56" s="504"/>
      <c r="AI56" s="505"/>
      <c r="AJ56" s="505"/>
      <c r="AK56" s="505"/>
      <c r="AL56" s="505"/>
      <c r="AM56" s="505"/>
      <c r="AN56" s="505"/>
      <c r="AO56" s="505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</row>
    <row r="57" spans="1:52" ht="15" customHeight="1">
      <c r="A57" s="504"/>
      <c r="B57" s="280" t="str">
        <f>IF(F57="","",N57)</f>
        <v/>
      </c>
      <c r="C57" s="885"/>
      <c r="D57" s="876"/>
      <c r="E57" s="703"/>
      <c r="F57" s="696"/>
      <c r="G57" s="696"/>
      <c r="H57" s="696"/>
      <c r="I57" s="696"/>
      <c r="J57" s="696"/>
      <c r="K57" s="481">
        <f>SUM(F57:J57)</f>
        <v>0</v>
      </c>
      <c r="L57" s="477">
        <f>MAX(F57:J57)</f>
        <v>0</v>
      </c>
      <c r="M57" s="478">
        <f>SUM(K57*1000)+L57+0.06</f>
        <v>0.06</v>
      </c>
      <c r="N57" s="407" t="str">
        <f>IF(F57="","",RANK(M57,M6:M65,0))</f>
        <v/>
      </c>
      <c r="O57" s="481"/>
      <c r="P57" s="482"/>
      <c r="Q57" s="677"/>
      <c r="R57" s="882"/>
      <c r="S57" s="538"/>
      <c r="T57" s="528"/>
      <c r="U57" s="528"/>
      <c r="V57" s="528"/>
      <c r="W57" s="528"/>
      <c r="X57" s="528"/>
      <c r="Y57" s="528"/>
      <c r="Z57" s="528"/>
      <c r="AA57" s="681"/>
      <c r="AB57" s="539"/>
      <c r="AC57" s="555"/>
      <c r="AD57" s="863"/>
      <c r="AE57" s="504"/>
      <c r="AF57" s="504"/>
      <c r="AG57" s="504"/>
      <c r="AH57" s="504"/>
      <c r="AI57" s="505"/>
      <c r="AJ57" s="505"/>
      <c r="AK57" s="505"/>
      <c r="AL57" s="505"/>
      <c r="AM57" s="505"/>
      <c r="AN57" s="505"/>
      <c r="AO57" s="505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</row>
    <row r="58" spans="1:52" ht="15" customHeight="1">
      <c r="A58" s="504"/>
      <c r="B58" s="280" t="str">
        <f>IF(F58="","",N58)</f>
        <v/>
      </c>
      <c r="C58" s="885"/>
      <c r="D58" s="877"/>
      <c r="E58" s="717"/>
      <c r="F58" s="697"/>
      <c r="G58" s="697"/>
      <c r="H58" s="697"/>
      <c r="I58" s="697"/>
      <c r="J58" s="697"/>
      <c r="K58" s="495">
        <f>SUM(F58:J58)</f>
        <v>0</v>
      </c>
      <c r="L58" s="493">
        <f>MAX(F58:J58)</f>
        <v>0</v>
      </c>
      <c r="M58" s="494">
        <f>SUM(K58*1000)+L58+0.05</f>
        <v>0.05</v>
      </c>
      <c r="N58" s="409" t="str">
        <f>IF(F58="","",RANK(M58,M6:M65,0))</f>
        <v/>
      </c>
      <c r="O58" s="495"/>
      <c r="P58" s="496"/>
      <c r="Q58" s="678"/>
      <c r="R58" s="883"/>
      <c r="S58" s="540"/>
      <c r="T58" s="529"/>
      <c r="U58" s="529"/>
      <c r="V58" s="529"/>
      <c r="W58" s="529"/>
      <c r="X58" s="529"/>
      <c r="Y58" s="529"/>
      <c r="Z58" s="529"/>
      <c r="AA58" s="682"/>
      <c r="AB58" s="541"/>
      <c r="AC58" s="555"/>
      <c r="AD58" s="863"/>
      <c r="AE58" s="504"/>
      <c r="AF58" s="504"/>
      <c r="AG58" s="504"/>
      <c r="AH58" s="504"/>
      <c r="AI58" s="505"/>
      <c r="AJ58" s="505"/>
      <c r="AK58" s="505"/>
      <c r="AL58" s="505"/>
      <c r="AM58" s="505"/>
      <c r="AN58" s="505"/>
      <c r="AO58" s="505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</row>
    <row r="59" spans="1:52" ht="15" customHeight="1">
      <c r="A59" s="504"/>
      <c r="B59" s="280"/>
      <c r="C59" s="525"/>
      <c r="D59" s="411"/>
      <c r="E59" s="492"/>
      <c r="F59" s="497">
        <f>SUM(F54:F58)</f>
        <v>0</v>
      </c>
      <c r="G59" s="497">
        <f>SUM(G54:G58)</f>
        <v>0</v>
      </c>
      <c r="H59" s="497">
        <f>SUM(H54:H58)</f>
        <v>0</v>
      </c>
      <c r="I59" s="497">
        <f>SUM(I54:I58)</f>
        <v>0</v>
      </c>
      <c r="J59" s="497">
        <f>SUM(J54:J58)</f>
        <v>0</v>
      </c>
      <c r="K59" s="499"/>
      <c r="L59" s="499"/>
      <c r="M59" s="502"/>
      <c r="N59" s="499"/>
      <c r="O59" s="499">
        <f>SUM(F59:J59)</f>
        <v>0</v>
      </c>
      <c r="P59" s="499">
        <f>MAX(F59:J59)+0.002</f>
        <v>2E-3</v>
      </c>
      <c r="Q59" s="679" t="str">
        <f>IF(F54="","",SUM(O59*1000)+P59)</f>
        <v/>
      </c>
      <c r="R59" s="468"/>
      <c r="S59" s="530"/>
      <c r="T59" s="530"/>
      <c r="U59" s="530"/>
      <c r="V59" s="530"/>
      <c r="W59" s="530"/>
      <c r="X59" s="530"/>
      <c r="Y59" s="530"/>
      <c r="Z59" s="530"/>
      <c r="AA59" s="683"/>
      <c r="AB59" s="530"/>
      <c r="AC59" s="532"/>
      <c r="AD59" s="863"/>
      <c r="AE59" s="504"/>
      <c r="AF59" s="504"/>
      <c r="AG59" s="504"/>
      <c r="AH59" s="504"/>
      <c r="AI59" s="505"/>
      <c r="AJ59" s="505"/>
      <c r="AK59" s="505"/>
      <c r="AL59" s="510"/>
      <c r="AM59" s="510"/>
      <c r="AN59" s="510"/>
      <c r="AO59" s="505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</row>
    <row r="60" spans="1:52" ht="15" customHeight="1">
      <c r="A60" s="504"/>
      <c r="B60" s="280" t="str">
        <f>IF(F60="","",N60)</f>
        <v/>
      </c>
      <c r="C60" s="884">
        <v>10</v>
      </c>
      <c r="D60" s="875" t="s">
        <v>133</v>
      </c>
      <c r="E60" s="704"/>
      <c r="F60" s="695"/>
      <c r="G60" s="695"/>
      <c r="H60" s="695"/>
      <c r="I60" s="695"/>
      <c r="J60" s="695"/>
      <c r="K60" s="477">
        <f>SUM(F60:J60)</f>
        <v>0</v>
      </c>
      <c r="L60" s="477">
        <f>MAX(F60:J60)</f>
        <v>0</v>
      </c>
      <c r="M60" s="478">
        <f>SUM(K60*1000)+L60+0.04</f>
        <v>0.04</v>
      </c>
      <c r="N60" s="410" t="str">
        <f>IF(F60="","",RANK(M60,M6:M65,0))</f>
        <v/>
      </c>
      <c r="O60" s="477"/>
      <c r="P60" s="480"/>
      <c r="Q60" s="676"/>
      <c r="R60" s="890" t="str">
        <f>IF(F60="","",RANK(Q65,Q11:Q65,0))</f>
        <v/>
      </c>
      <c r="S60" s="537"/>
      <c r="T60" s="527"/>
      <c r="U60" s="543" t="str">
        <f>IF(R60="","",R60)</f>
        <v/>
      </c>
      <c r="V60" s="544" t="str">
        <f>IF(D60="","",D60)</f>
        <v>KAČEROV II.</v>
      </c>
      <c r="W60" s="547">
        <f>IF(O65="","",O65)</f>
        <v>0</v>
      </c>
      <c r="X60" s="527"/>
      <c r="Y60" s="527"/>
      <c r="Z60" s="527"/>
      <c r="AA60" s="684"/>
      <c r="AB60" s="548"/>
      <c r="AC60" s="555"/>
      <c r="AD60" s="863"/>
      <c r="AE60" s="504"/>
      <c r="AF60" s="504"/>
      <c r="AG60" s="504"/>
      <c r="AH60" s="504"/>
      <c r="AI60" s="505"/>
      <c r="AJ60" s="505"/>
      <c r="AK60" s="505"/>
      <c r="AL60" s="510"/>
      <c r="AM60" s="510"/>
      <c r="AN60" s="510"/>
      <c r="AO60" s="505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</row>
    <row r="61" spans="1:52" ht="15" customHeight="1">
      <c r="A61" s="504"/>
      <c r="B61" s="280" t="str">
        <f>IF(F61="","",N61)</f>
        <v/>
      </c>
      <c r="C61" s="885"/>
      <c r="D61" s="876"/>
      <c r="E61" s="703"/>
      <c r="F61" s="696"/>
      <c r="G61" s="696"/>
      <c r="H61" s="696"/>
      <c r="I61" s="696"/>
      <c r="J61" s="696"/>
      <c r="K61" s="481">
        <f>SUM(F61:J61)</f>
        <v>0</v>
      </c>
      <c r="L61" s="477">
        <f>MAX(F61:J61)</f>
        <v>0</v>
      </c>
      <c r="M61" s="478">
        <f>SUM(K61*1000)+L61+0.03</f>
        <v>0.03</v>
      </c>
      <c r="N61" s="407" t="str">
        <f>IF(F61="","",RANK(M61,M6:M65,0))</f>
        <v/>
      </c>
      <c r="O61" s="481"/>
      <c r="P61" s="482"/>
      <c r="Q61" s="677"/>
      <c r="R61" s="891"/>
      <c r="S61" s="538"/>
      <c r="T61" s="528"/>
      <c r="U61" s="528"/>
      <c r="V61" s="528"/>
      <c r="W61" s="528"/>
      <c r="X61" s="528"/>
      <c r="Y61" s="528"/>
      <c r="Z61" s="528"/>
      <c r="AA61" s="681"/>
      <c r="AB61" s="539"/>
      <c r="AC61" s="555"/>
      <c r="AD61" s="863"/>
      <c r="AE61" s="504"/>
      <c r="AF61" s="504"/>
      <c r="AG61" s="504"/>
      <c r="AH61" s="504"/>
      <c r="AI61" s="505"/>
      <c r="AJ61" s="505"/>
      <c r="AK61" s="505"/>
      <c r="AL61" s="510"/>
      <c r="AM61" s="510"/>
      <c r="AN61" s="510"/>
      <c r="AO61" s="505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</row>
    <row r="62" spans="1:52" ht="15" customHeight="1">
      <c r="A62" s="504"/>
      <c r="B62" s="280" t="str">
        <f>IF(F62="","",N62)</f>
        <v/>
      </c>
      <c r="C62" s="885"/>
      <c r="D62" s="876"/>
      <c r="E62" s="703"/>
      <c r="F62" s="696"/>
      <c r="G62" s="696"/>
      <c r="H62" s="696"/>
      <c r="I62" s="696"/>
      <c r="J62" s="696"/>
      <c r="K62" s="481">
        <f>SUM(F62:J62)</f>
        <v>0</v>
      </c>
      <c r="L62" s="477">
        <f>MAX(F62:J62)</f>
        <v>0</v>
      </c>
      <c r="M62" s="478">
        <f>SUM(K62*1000)+L62+0.02</f>
        <v>0.02</v>
      </c>
      <c r="N62" s="407" t="str">
        <f>IF(F62="","",RANK(M62,M6:M65,0))</f>
        <v/>
      </c>
      <c r="O62" s="481"/>
      <c r="P62" s="482"/>
      <c r="Q62" s="677"/>
      <c r="R62" s="891"/>
      <c r="S62" s="538"/>
      <c r="T62" s="528"/>
      <c r="U62" s="528"/>
      <c r="V62" s="528"/>
      <c r="W62" s="528"/>
      <c r="X62" s="528"/>
      <c r="Y62" s="528"/>
      <c r="Z62" s="528"/>
      <c r="AA62" s="681"/>
      <c r="AB62" s="539"/>
      <c r="AC62" s="555"/>
      <c r="AD62" s="863"/>
      <c r="AE62" s="504"/>
      <c r="AF62" s="504"/>
      <c r="AG62" s="504"/>
      <c r="AH62" s="504"/>
      <c r="AI62" s="505"/>
      <c r="AJ62" s="505"/>
      <c r="AK62" s="505"/>
      <c r="AL62" s="510"/>
      <c r="AM62" s="510"/>
      <c r="AN62" s="510"/>
      <c r="AO62" s="505"/>
      <c r="AP62" s="506"/>
      <c r="AQ62" s="506"/>
      <c r="AR62" s="506"/>
      <c r="AS62" s="506"/>
      <c r="AT62" s="506"/>
      <c r="AU62" s="506"/>
      <c r="AV62" s="506"/>
      <c r="AW62" s="506"/>
      <c r="AX62" s="506"/>
      <c r="AY62" s="506"/>
      <c r="AZ62" s="506"/>
    </row>
    <row r="63" spans="1:52" ht="15" customHeight="1">
      <c r="A63" s="504"/>
      <c r="B63" s="280" t="str">
        <f>IF(F63="","",N63)</f>
        <v/>
      </c>
      <c r="C63" s="885"/>
      <c r="D63" s="876"/>
      <c r="E63" s="703"/>
      <c r="F63" s="696"/>
      <c r="G63" s="696"/>
      <c r="H63" s="696"/>
      <c r="I63" s="696"/>
      <c r="J63" s="696"/>
      <c r="K63" s="481">
        <f>SUM(F63:J63)</f>
        <v>0</v>
      </c>
      <c r="L63" s="477">
        <f>MAX(F63:J63)</f>
        <v>0</v>
      </c>
      <c r="M63" s="478">
        <f>SUM(K63*1000)+L63+0.01</f>
        <v>0.01</v>
      </c>
      <c r="N63" s="407" t="str">
        <f>IF(F63="","",RANK(M63,M6:M65,0))</f>
        <v/>
      </c>
      <c r="O63" s="481"/>
      <c r="P63" s="482"/>
      <c r="Q63" s="677"/>
      <c r="R63" s="891"/>
      <c r="S63" s="538"/>
      <c r="T63" s="528"/>
      <c r="U63" s="528"/>
      <c r="V63" s="528"/>
      <c r="W63" s="528"/>
      <c r="X63" s="528"/>
      <c r="Y63" s="528"/>
      <c r="Z63" s="528"/>
      <c r="AA63" s="681"/>
      <c r="AB63" s="539"/>
      <c r="AC63" s="555"/>
      <c r="AD63" s="863"/>
      <c r="AE63" s="504"/>
      <c r="AF63" s="504"/>
      <c r="AG63" s="504"/>
      <c r="AH63" s="504"/>
      <c r="AI63" s="505"/>
      <c r="AJ63" s="505"/>
      <c r="AK63" s="505"/>
      <c r="AL63" s="510"/>
      <c r="AM63" s="510"/>
      <c r="AN63" s="510"/>
      <c r="AO63" s="505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</row>
    <row r="64" spans="1:52" ht="15" customHeight="1">
      <c r="A64" s="504"/>
      <c r="B64" s="280" t="str">
        <f>IF(F64="","",N64)</f>
        <v/>
      </c>
      <c r="C64" s="885"/>
      <c r="D64" s="876"/>
      <c r="E64" s="703"/>
      <c r="F64" s="697"/>
      <c r="G64" s="697"/>
      <c r="H64" s="697"/>
      <c r="I64" s="697"/>
      <c r="J64" s="697"/>
      <c r="K64" s="495">
        <f>SUM(F64:J64)</f>
        <v>0</v>
      </c>
      <c r="L64" s="493">
        <f>MAX(F64:J64)</f>
        <v>0</v>
      </c>
      <c r="M64" s="494">
        <f>SUM(K64*1000)+L64</f>
        <v>0</v>
      </c>
      <c r="N64" s="409" t="str">
        <f>IF(F64="","",RANK(M64,M6:M65,0))</f>
        <v/>
      </c>
      <c r="O64" s="495"/>
      <c r="P64" s="496"/>
      <c r="Q64" s="678"/>
      <c r="R64" s="892"/>
      <c r="S64" s="540"/>
      <c r="T64" s="529"/>
      <c r="U64" s="529"/>
      <c r="V64" s="529"/>
      <c r="W64" s="529"/>
      <c r="X64" s="529"/>
      <c r="Y64" s="529"/>
      <c r="Z64" s="529"/>
      <c r="AA64" s="682"/>
      <c r="AB64" s="541"/>
      <c r="AC64" s="542"/>
      <c r="AD64" s="864"/>
      <c r="AE64" s="504"/>
      <c r="AF64" s="504"/>
      <c r="AG64" s="504"/>
      <c r="AH64" s="504"/>
      <c r="AI64" s="505"/>
      <c r="AJ64" s="505"/>
      <c r="AK64" s="510"/>
      <c r="AL64" s="510"/>
      <c r="AM64" s="510"/>
      <c r="AN64" s="510"/>
      <c r="AO64" s="505"/>
      <c r="AP64" s="506"/>
      <c r="AQ64" s="506"/>
      <c r="AR64" s="506"/>
      <c r="AS64" s="506"/>
      <c r="AT64" s="506"/>
      <c r="AU64" s="506"/>
      <c r="AV64" s="506"/>
      <c r="AW64" s="506"/>
      <c r="AX64" s="506"/>
      <c r="AY64" s="506"/>
      <c r="AZ64" s="506"/>
    </row>
    <row r="65" spans="1:52" ht="12.75" customHeight="1">
      <c r="A65" s="504"/>
      <c r="B65" s="504"/>
      <c r="C65" s="507"/>
      <c r="D65" s="508"/>
      <c r="E65" s="509"/>
      <c r="F65" s="526">
        <f>SUM(F60:F64)</f>
        <v>0</v>
      </c>
      <c r="G65" s="526">
        <f>SUM(G60:G64)</f>
        <v>0</v>
      </c>
      <c r="H65" s="526">
        <f>SUM(H60:H64)</f>
        <v>0</v>
      </c>
      <c r="I65" s="526">
        <f>SUM(I60:I64)</f>
        <v>0</v>
      </c>
      <c r="J65" s="526">
        <f>SUM(J60:J64)</f>
        <v>0</v>
      </c>
      <c r="K65" s="511"/>
      <c r="L65" s="511">
        <f>MAX(L12:L64,L6:L10)</f>
        <v>0</v>
      </c>
      <c r="M65" s="511"/>
      <c r="N65" s="511"/>
      <c r="O65" s="511">
        <f>SUM(F65:J65)</f>
        <v>0</v>
      </c>
      <c r="P65" s="511">
        <f>MAX(F65:J65)+0.001</f>
        <v>1E-3</v>
      </c>
      <c r="Q65" s="513" t="str">
        <f>IF(F60="","",SUM(O65*1000)+P65)</f>
        <v/>
      </c>
      <c r="R65" s="512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906">
        <f>SUM(O59,O65)</f>
        <v>0</v>
      </c>
      <c r="AD65" s="906"/>
      <c r="AE65" s="504"/>
      <c r="AF65" s="504"/>
      <c r="AG65" s="504"/>
      <c r="AH65" s="504"/>
      <c r="AI65" s="505"/>
      <c r="AJ65" s="505"/>
      <c r="AK65" s="510"/>
      <c r="AL65" s="510"/>
      <c r="AM65" s="510"/>
      <c r="AN65" s="510"/>
      <c r="AO65" s="505"/>
      <c r="AP65" s="506"/>
      <c r="AQ65" s="506"/>
      <c r="AR65" s="506"/>
      <c r="AS65" s="506"/>
      <c r="AT65" s="506"/>
      <c r="AU65" s="506"/>
      <c r="AV65" s="506"/>
      <c r="AW65" s="506"/>
      <c r="AX65" s="506"/>
      <c r="AY65" s="506"/>
      <c r="AZ65" s="506"/>
    </row>
    <row r="66" spans="1:52" ht="12.75" customHeight="1">
      <c r="A66" s="506"/>
      <c r="B66" s="506"/>
      <c r="C66" s="506"/>
      <c r="D66" s="506"/>
      <c r="E66" s="506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10"/>
      <c r="AJ66" s="510"/>
      <c r="AK66" s="510"/>
      <c r="AL66" s="510"/>
      <c r="AM66" s="510"/>
      <c r="AN66" s="510"/>
      <c r="AO66" s="510"/>
      <c r="AP66" s="506"/>
      <c r="AQ66" s="506"/>
      <c r="AR66" s="506"/>
      <c r="AS66" s="506"/>
      <c r="AT66" s="506"/>
      <c r="AU66" s="506"/>
      <c r="AV66" s="506"/>
      <c r="AW66" s="506"/>
      <c r="AX66" s="506"/>
      <c r="AY66" s="506"/>
      <c r="AZ66" s="506"/>
    </row>
    <row r="67" spans="1:52" ht="12.75" customHeight="1">
      <c r="A67" s="506"/>
      <c r="B67" s="506"/>
      <c r="C67" s="506"/>
      <c r="D67" s="506"/>
      <c r="E67" s="506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10"/>
      <c r="AJ67" s="510"/>
      <c r="AK67" s="510"/>
      <c r="AL67" s="510"/>
      <c r="AM67" s="510"/>
      <c r="AN67" s="510"/>
      <c r="AO67" s="510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</row>
    <row r="68" spans="1:52" ht="12.75" customHeight="1">
      <c r="A68" s="506"/>
      <c r="B68" s="506"/>
      <c r="C68" s="506"/>
      <c r="D68" s="506"/>
      <c r="E68" s="506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10"/>
      <c r="AJ68" s="510"/>
      <c r="AK68" s="510"/>
      <c r="AL68" s="510"/>
      <c r="AM68" s="510"/>
      <c r="AN68" s="510"/>
      <c r="AO68" s="510"/>
      <c r="AP68" s="506"/>
      <c r="AQ68" s="506"/>
      <c r="AR68" s="506"/>
      <c r="AS68" s="506"/>
      <c r="AT68" s="506"/>
      <c r="AU68" s="506"/>
      <c r="AV68" s="506"/>
      <c r="AW68" s="506"/>
      <c r="AX68" s="506"/>
      <c r="AY68" s="506"/>
      <c r="AZ68" s="506"/>
    </row>
    <row r="69" spans="1:52" ht="12.75" customHeight="1">
      <c r="A69" s="506"/>
      <c r="B69" s="506"/>
      <c r="C69" s="506"/>
      <c r="D69" s="506"/>
      <c r="E69" s="506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10"/>
      <c r="AJ69" s="510"/>
      <c r="AK69" s="510"/>
      <c r="AL69" s="510"/>
      <c r="AM69" s="510"/>
      <c r="AN69" s="510"/>
      <c r="AO69" s="510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</row>
    <row r="70" spans="1:52" ht="12.75" customHeight="1">
      <c r="A70" s="506"/>
      <c r="B70" s="506"/>
      <c r="C70" s="506"/>
      <c r="D70" s="506"/>
      <c r="E70" s="506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10"/>
      <c r="AJ70" s="510"/>
      <c r="AK70" s="510"/>
      <c r="AL70" s="510"/>
      <c r="AM70" s="510"/>
      <c r="AN70" s="510"/>
      <c r="AO70" s="510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</row>
    <row r="71" spans="1:52" ht="12.75" customHeight="1">
      <c r="A71" s="506"/>
      <c r="B71" s="506"/>
      <c r="C71" s="506"/>
      <c r="D71" s="506"/>
      <c r="E71" s="506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10"/>
      <c r="AJ71" s="510"/>
      <c r="AK71" s="510"/>
      <c r="AL71" s="510"/>
      <c r="AM71" s="510"/>
      <c r="AN71" s="510"/>
      <c r="AO71" s="510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</row>
    <row r="72" spans="1:52">
      <c r="A72" s="506"/>
      <c r="B72" s="506"/>
      <c r="C72" s="506"/>
      <c r="D72" s="506"/>
      <c r="E72" s="506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10"/>
      <c r="AJ72" s="510"/>
      <c r="AK72" s="510"/>
      <c r="AL72" s="510"/>
      <c r="AM72" s="510"/>
      <c r="AN72" s="510"/>
      <c r="AO72" s="510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</row>
    <row r="73" spans="1:52">
      <c r="A73" s="506"/>
      <c r="B73" s="506"/>
      <c r="C73" s="506"/>
      <c r="D73" s="506"/>
      <c r="E73" s="506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10"/>
      <c r="AJ73" s="510"/>
      <c r="AK73" s="510"/>
      <c r="AL73" s="510"/>
      <c r="AM73" s="510"/>
      <c r="AN73" s="510"/>
      <c r="AO73" s="510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</row>
    <row r="74" spans="1:52">
      <c r="A74" s="506"/>
      <c r="B74" s="506"/>
      <c r="C74" s="506"/>
      <c r="D74" s="506"/>
      <c r="E74" s="506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10"/>
      <c r="AJ74" s="510"/>
      <c r="AK74" s="510"/>
      <c r="AL74" s="510"/>
      <c r="AM74" s="510"/>
      <c r="AN74" s="510"/>
      <c r="AO74" s="510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</row>
    <row r="75" spans="1:52">
      <c r="A75" s="506"/>
      <c r="B75" s="506"/>
      <c r="C75" s="506"/>
      <c r="D75" s="506"/>
      <c r="E75" s="506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10"/>
      <c r="AJ75" s="510"/>
      <c r="AK75" s="510"/>
      <c r="AL75" s="510"/>
      <c r="AM75" s="510"/>
      <c r="AN75" s="510"/>
      <c r="AO75" s="510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</row>
    <row r="76" spans="1:52">
      <c r="A76" s="506"/>
      <c r="B76" s="506"/>
      <c r="C76" s="506"/>
      <c r="D76" s="506"/>
      <c r="E76" s="506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10"/>
      <c r="AJ76" s="510"/>
      <c r="AK76" s="510"/>
      <c r="AL76" s="510"/>
      <c r="AM76" s="510"/>
      <c r="AN76" s="510"/>
      <c r="AO76" s="510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</row>
    <row r="77" spans="1:52">
      <c r="A77" s="506"/>
      <c r="B77" s="506"/>
      <c r="C77" s="506"/>
      <c r="D77" s="506"/>
      <c r="E77" s="506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10"/>
      <c r="AJ77" s="510"/>
      <c r="AK77" s="510"/>
      <c r="AL77" s="510"/>
      <c r="AM77" s="510"/>
      <c r="AN77" s="510"/>
      <c r="AO77" s="510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</row>
    <row r="78" spans="1:52">
      <c r="A78" s="506"/>
      <c r="B78" s="506"/>
      <c r="C78" s="506"/>
      <c r="D78" s="506"/>
      <c r="E78" s="506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10"/>
      <c r="AJ78" s="510"/>
      <c r="AK78" s="510"/>
      <c r="AL78" s="510"/>
      <c r="AM78" s="510"/>
      <c r="AN78" s="510"/>
      <c r="AO78" s="510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</row>
    <row r="79" spans="1:52">
      <c r="A79" s="506"/>
      <c r="B79" s="506"/>
      <c r="C79" s="506"/>
      <c r="D79" s="506"/>
      <c r="E79" s="506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10"/>
      <c r="AJ79" s="510"/>
      <c r="AK79" s="510"/>
      <c r="AL79" s="510"/>
      <c r="AM79" s="510"/>
      <c r="AN79" s="510"/>
      <c r="AO79" s="510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</row>
    <row r="80" spans="1:52">
      <c r="A80" s="506"/>
      <c r="B80" s="506"/>
      <c r="C80" s="506"/>
      <c r="D80" s="506"/>
      <c r="E80" s="506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10"/>
      <c r="AJ80" s="510"/>
      <c r="AK80" s="510"/>
      <c r="AL80" s="510"/>
      <c r="AM80" s="510"/>
      <c r="AN80" s="510"/>
      <c r="AO80" s="510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</row>
    <row r="81" spans="1:52">
      <c r="A81" s="506"/>
      <c r="B81" s="506"/>
      <c r="C81" s="506"/>
      <c r="D81" s="506"/>
      <c r="E81" s="506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10"/>
      <c r="AJ81" s="510"/>
      <c r="AK81" s="510"/>
      <c r="AL81" s="510"/>
      <c r="AM81" s="510"/>
      <c r="AN81" s="510"/>
      <c r="AO81" s="510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</row>
    <row r="82" spans="1:52">
      <c r="A82" s="506"/>
      <c r="B82" s="506"/>
      <c r="C82" s="506"/>
      <c r="D82" s="506"/>
      <c r="E82" s="506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10"/>
      <c r="AJ82" s="510"/>
      <c r="AK82" s="510"/>
      <c r="AL82" s="510"/>
      <c r="AM82" s="510"/>
      <c r="AN82" s="510"/>
      <c r="AO82" s="510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</row>
    <row r="83" spans="1:52">
      <c r="A83" s="506"/>
      <c r="B83" s="506"/>
      <c r="C83" s="506"/>
      <c r="D83" s="506"/>
      <c r="E83" s="506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10"/>
      <c r="AJ83" s="510"/>
      <c r="AK83" s="510"/>
      <c r="AL83" s="510"/>
      <c r="AM83" s="510"/>
      <c r="AN83" s="510"/>
      <c r="AO83" s="510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</row>
    <row r="84" spans="1:52">
      <c r="A84" s="506"/>
      <c r="B84" s="506"/>
      <c r="C84" s="506"/>
      <c r="D84" s="506"/>
      <c r="E84" s="506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10"/>
      <c r="AJ84" s="510"/>
      <c r="AK84" s="510"/>
      <c r="AL84" s="510"/>
      <c r="AM84" s="510"/>
      <c r="AN84" s="510"/>
      <c r="AO84" s="510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</row>
    <row r="85" spans="1:52">
      <c r="A85" s="506"/>
      <c r="B85" s="506"/>
      <c r="C85" s="506"/>
      <c r="D85" s="506"/>
      <c r="E85" s="506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10"/>
      <c r="AJ85" s="510"/>
      <c r="AK85" s="510"/>
      <c r="AL85" s="510"/>
      <c r="AM85" s="510"/>
      <c r="AN85" s="510"/>
      <c r="AO85" s="510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</row>
    <row r="86" spans="1:52">
      <c r="A86" s="506"/>
      <c r="B86" s="506"/>
      <c r="C86" s="506"/>
      <c r="D86" s="506"/>
      <c r="E86" s="506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10"/>
      <c r="AJ86" s="510"/>
      <c r="AK86" s="510"/>
      <c r="AL86" s="510"/>
      <c r="AM86" s="510"/>
      <c r="AN86" s="510"/>
      <c r="AO86" s="510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</row>
    <row r="87" spans="1:52">
      <c r="A87" s="506"/>
      <c r="B87" s="506"/>
      <c r="C87" s="506"/>
      <c r="D87" s="506"/>
      <c r="E87" s="506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10"/>
      <c r="AJ87" s="510"/>
      <c r="AK87" s="510"/>
      <c r="AL87" s="510"/>
      <c r="AM87" s="510"/>
      <c r="AN87" s="510"/>
      <c r="AO87" s="510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</row>
    <row r="88" spans="1:52">
      <c r="A88" s="506"/>
      <c r="B88" s="506"/>
      <c r="C88" s="506"/>
      <c r="D88" s="506"/>
      <c r="E88" s="506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10"/>
      <c r="AJ88" s="510"/>
      <c r="AK88" s="510"/>
      <c r="AL88" s="510"/>
      <c r="AM88" s="510"/>
      <c r="AN88" s="510"/>
      <c r="AO88" s="510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</row>
    <row r="89" spans="1:52">
      <c r="A89" s="506"/>
      <c r="B89" s="506"/>
      <c r="C89" s="506"/>
      <c r="D89" s="506"/>
      <c r="E89" s="506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10"/>
      <c r="AJ89" s="510"/>
      <c r="AK89" s="510"/>
      <c r="AL89" s="510"/>
      <c r="AM89" s="510"/>
      <c r="AN89" s="510"/>
      <c r="AO89" s="510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</row>
    <row r="90" spans="1:52">
      <c r="A90" s="506"/>
      <c r="B90" s="506"/>
      <c r="C90" s="506"/>
      <c r="D90" s="506"/>
      <c r="E90" s="506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10"/>
      <c r="AJ90" s="510"/>
      <c r="AK90" s="510"/>
      <c r="AL90" s="510"/>
      <c r="AM90" s="510"/>
      <c r="AN90" s="510"/>
      <c r="AO90" s="510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</row>
    <row r="91" spans="1:52">
      <c r="A91" s="506"/>
      <c r="B91" s="506"/>
      <c r="C91" s="506"/>
      <c r="D91" s="506"/>
      <c r="E91" s="506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10"/>
      <c r="AJ91" s="510"/>
      <c r="AK91" s="510"/>
      <c r="AL91" s="510"/>
      <c r="AM91" s="510"/>
      <c r="AN91" s="510"/>
      <c r="AO91" s="510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</row>
    <row r="92" spans="1:52">
      <c r="A92" s="506"/>
      <c r="B92" s="506"/>
      <c r="C92" s="506"/>
      <c r="D92" s="506"/>
      <c r="E92" s="506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10"/>
      <c r="AJ92" s="510"/>
      <c r="AK92" s="510"/>
      <c r="AL92" s="510"/>
      <c r="AM92" s="510"/>
      <c r="AN92" s="510"/>
      <c r="AO92" s="510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</row>
    <row r="93" spans="1:52">
      <c r="A93" s="506"/>
      <c r="B93" s="506"/>
      <c r="C93" s="506"/>
      <c r="D93" s="506"/>
      <c r="E93" s="506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10"/>
      <c r="AJ93" s="510"/>
      <c r="AK93" s="510"/>
      <c r="AL93" s="510"/>
      <c r="AM93" s="510"/>
      <c r="AN93" s="510"/>
      <c r="AO93" s="510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</row>
    <row r="94" spans="1:52">
      <c r="A94" s="506"/>
      <c r="B94" s="506"/>
      <c r="C94" s="506"/>
      <c r="D94" s="506"/>
      <c r="E94" s="506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10"/>
      <c r="AJ94" s="510"/>
      <c r="AK94" s="510"/>
      <c r="AL94" s="510"/>
      <c r="AM94" s="510"/>
      <c r="AN94" s="510"/>
      <c r="AO94" s="510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</row>
    <row r="95" spans="1:52">
      <c r="A95" s="506"/>
      <c r="B95" s="506"/>
      <c r="C95" s="506"/>
      <c r="D95" s="506"/>
      <c r="E95" s="506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10"/>
      <c r="AJ95" s="510"/>
      <c r="AK95" s="510"/>
      <c r="AL95" s="510"/>
      <c r="AM95" s="510"/>
      <c r="AN95" s="510"/>
      <c r="AO95" s="510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</row>
    <row r="96" spans="1:52">
      <c r="A96" s="506"/>
      <c r="B96" s="506"/>
      <c r="C96" s="506"/>
      <c r="D96" s="506"/>
      <c r="E96" s="506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10"/>
      <c r="AJ96" s="510"/>
      <c r="AK96" s="510"/>
      <c r="AL96" s="510"/>
      <c r="AM96" s="510"/>
      <c r="AN96" s="510"/>
      <c r="AO96" s="510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</row>
    <row r="97" spans="1:52">
      <c r="A97" s="506"/>
      <c r="B97" s="506"/>
      <c r="C97" s="506"/>
      <c r="D97" s="506"/>
      <c r="E97" s="506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10"/>
      <c r="AJ97" s="510"/>
      <c r="AK97" s="510"/>
      <c r="AL97" s="510"/>
      <c r="AM97" s="510"/>
      <c r="AN97" s="510"/>
      <c r="AO97" s="510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</row>
    <row r="98" spans="1:52">
      <c r="A98" s="506"/>
      <c r="B98" s="506"/>
      <c r="C98" s="506"/>
      <c r="D98" s="506"/>
      <c r="E98" s="506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10"/>
      <c r="AJ98" s="510"/>
      <c r="AK98" s="510"/>
      <c r="AL98" s="510"/>
      <c r="AM98" s="510"/>
      <c r="AN98" s="510"/>
      <c r="AO98" s="510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</row>
    <row r="99" spans="1:52">
      <c r="A99" s="506"/>
      <c r="B99" s="506"/>
      <c r="C99" s="506"/>
      <c r="D99" s="506"/>
      <c r="E99" s="506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10"/>
      <c r="AJ99" s="510"/>
      <c r="AK99" s="510"/>
      <c r="AL99" s="510"/>
      <c r="AM99" s="510"/>
      <c r="AN99" s="510"/>
      <c r="AO99" s="510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</row>
    <row r="100" spans="1:52">
      <c r="A100" s="506"/>
      <c r="B100" s="506"/>
      <c r="C100" s="506"/>
      <c r="D100" s="506"/>
      <c r="E100" s="506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10"/>
      <c r="AJ100" s="510"/>
      <c r="AK100" s="510"/>
      <c r="AL100" s="510"/>
      <c r="AM100" s="510"/>
      <c r="AN100" s="510"/>
      <c r="AO100" s="510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</row>
  </sheetData>
  <sheetProtection password="CB7E" sheet="1" selectLockedCells="1"/>
  <mergeCells count="47">
    <mergeCell ref="AC65:AD65"/>
    <mergeCell ref="AC53:AD53"/>
    <mergeCell ref="C54:C58"/>
    <mergeCell ref="D54:D58"/>
    <mergeCell ref="R54:R58"/>
    <mergeCell ref="AD54:AD64"/>
    <mergeCell ref="C60:C64"/>
    <mergeCell ref="D60:D64"/>
    <mergeCell ref="R60:R64"/>
    <mergeCell ref="D36:D40"/>
    <mergeCell ref="R36:R40"/>
    <mergeCell ref="AC41:AD41"/>
    <mergeCell ref="C42:C46"/>
    <mergeCell ref="D42:D46"/>
    <mergeCell ref="R42:R46"/>
    <mergeCell ref="AD42:AD52"/>
    <mergeCell ref="C48:C52"/>
    <mergeCell ref="D48:D52"/>
    <mergeCell ref="R48:R52"/>
    <mergeCell ref="AL18:AN18"/>
    <mergeCell ref="C24:C28"/>
    <mergeCell ref="D24:D28"/>
    <mergeCell ref="R24:R28"/>
    <mergeCell ref="AC29:AD29"/>
    <mergeCell ref="C30:C34"/>
    <mergeCell ref="D30:D34"/>
    <mergeCell ref="R30:R34"/>
    <mergeCell ref="AD30:AD40"/>
    <mergeCell ref="C36:C40"/>
    <mergeCell ref="C12:C16"/>
    <mergeCell ref="D12:D16"/>
    <mergeCell ref="R12:R16"/>
    <mergeCell ref="AC17:AD17"/>
    <mergeCell ref="C18:C22"/>
    <mergeCell ref="D18:D22"/>
    <mergeCell ref="R18:R22"/>
    <mergeCell ref="AD18:AD28"/>
    <mergeCell ref="D3:AN3"/>
    <mergeCell ref="A1:A4"/>
    <mergeCell ref="C5:D5"/>
    <mergeCell ref="N5:O5"/>
    <mergeCell ref="AG5:AI5"/>
    <mergeCell ref="C6:C10"/>
    <mergeCell ref="D6:D10"/>
    <mergeCell ref="R6:R10"/>
    <mergeCell ref="AD6:AD16"/>
    <mergeCell ref="AL6:AN6"/>
  </mergeCells>
  <conditionalFormatting sqref="AD54 R6 R11:R12 R17:R18 R23:R24 R29:R30 R35:R36 R41:R42 R47:R48 R53:R54 R59:R60 R65 V6:AB6 AD6 V18:AB18 V30:AB30 V42:AB42 V54:AB54 AD18 AD30 AD42 V12:W12 V24:W24 V36:W36 V48:W48 V60:W60">
    <cfRule type="cellIs" dxfId="24" priority="22" stopIfTrue="1" operator="equal">
      <formula>3</formula>
    </cfRule>
    <cfRule type="cellIs" dxfId="23" priority="23" stopIfTrue="1" operator="equal">
      <formula>2</formula>
    </cfRule>
    <cfRule type="cellIs" dxfId="22" priority="24" stopIfTrue="1" operator="equal">
      <formula>1</formula>
    </cfRule>
  </conditionalFormatting>
  <conditionalFormatting sqref="F6:J10 F12:J16 F18:J22 F24:J28 F30:J34 F36:J40 F42:J46 F48:J52 F54:J58 F60:J64">
    <cfRule type="cellIs" dxfId="21" priority="21" stopIfTrue="1" operator="equal">
      <formula>$L$65</formula>
    </cfRule>
  </conditionalFormatting>
  <dataValidations count="1">
    <dataValidation type="list" allowBlank="1" showInputMessage="1" showErrorMessage="1" sqref="D6:D10 D18:D22 D30:D34 D42:D46 D54:D58">
      <formula1>$BA$6:$BA$10</formula1>
    </dataValidation>
  </dataValidations>
  <hyperlinks>
    <hyperlink ref="A1:A2" location="turnaje!A1" display="ZPĚT"/>
  </hyperlinks>
  <pageMargins left="0.28999999999999998" right="0.27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jednotlivci</vt:lpstr>
      <vt:lpstr>garáže</vt:lpstr>
      <vt:lpstr>stat. celkem</vt:lpstr>
      <vt:lpstr>turnaje</vt:lpstr>
      <vt:lpstr>PV OSZO</vt:lpstr>
      <vt:lpstr>KLÍČOV</vt:lpstr>
      <vt:lpstr>ŘEPY</vt:lpstr>
      <vt:lpstr>HOSTIVAŘ</vt:lpstr>
      <vt:lpstr>KAČEROV</vt:lpstr>
      <vt:lpstr>VRŠOVICE</vt:lpstr>
      <vt:lpstr>POHÁR GŘ</vt:lpstr>
      <vt:lpstr>11 DRUŽSTEV</vt:lpstr>
      <vt:lpstr>zápis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Carvan</dc:creator>
  <cp:lastModifiedBy>ZO OS DOSIA Kačerov</cp:lastModifiedBy>
  <cp:lastPrinted>2014-01-14T21:13:29Z</cp:lastPrinted>
  <dcterms:created xsi:type="dcterms:W3CDTF">2007-02-13T17:30:40Z</dcterms:created>
  <dcterms:modified xsi:type="dcterms:W3CDTF">2015-02-04T14:34:39Z</dcterms:modified>
</cp:coreProperties>
</file>